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filterPrivacy="1"/>
  <workbookProtection workbookAlgorithmName="SHA-512" workbookHashValue="LzmfdTfuf/nyksZSo65CXEEGOL6wj1LeBdUs287yoykB1eCoBMfive9AqVLyyuxpoP+3l/HwBtSLn65IcOG5AA==" workbookSaltValue="dlP+WSWaJWVbw/cdxlOEVQ==" workbookSpinCount="100000" lockStructure="1"/>
  <bookViews>
    <workbookView xWindow="-20" yWindow="460" windowWidth="28800" windowHeight="17540" xr2:uid="{00000000-000D-0000-FFFF-FFFF00000000}"/>
  </bookViews>
  <sheets>
    <sheet name="Cash Flow Statement Y1-5" sheetId="8" r:id="rId1"/>
    <sheet name="P&amp;L overview" sheetId="6" r:id="rId2"/>
    <sheet name="Capital Spend" sheetId="9" r:id="rId3"/>
    <sheet name="P&amp;L MASTER" sheetId="1" r:id="rId4"/>
    <sheet name="Duty Calcs " sheetId="7" r:id="rId5"/>
    <sheet name="Debt repayments" sheetId="11" r:id="rId6"/>
    <sheet name="Sheet1" sheetId="10" r:id="rId7"/>
  </sheets>
  <calcPr calcId="171027"/>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1" i="8" l="1"/>
  <c r="G15" i="8"/>
  <c r="BC5" i="8" l="1"/>
  <c r="BD5" i="8"/>
  <c r="BE5" i="8"/>
  <c r="BF5" i="8"/>
  <c r="BG5" i="8"/>
  <c r="BH5" i="8"/>
  <c r="BI5" i="8"/>
  <c r="BJ5" i="8"/>
  <c r="BK5" i="8"/>
  <c r="BL5" i="8"/>
  <c r="BM5" i="8"/>
  <c r="BN5" i="8"/>
  <c r="BO5" i="8"/>
  <c r="AQ5" i="8"/>
  <c r="AR5" i="8"/>
  <c r="AS5" i="8"/>
  <c r="AT5" i="8"/>
  <c r="AU5" i="8"/>
  <c r="AV5" i="8"/>
  <c r="AW5" i="8"/>
  <c r="AX5" i="8"/>
  <c r="AY5" i="8"/>
  <c r="AZ5" i="8"/>
  <c r="BA5" i="8"/>
  <c r="BB5" i="8"/>
  <c r="AE5" i="8"/>
  <c r="AF5" i="8"/>
  <c r="AG5" i="8"/>
  <c r="AH5" i="8"/>
  <c r="AI5" i="8"/>
  <c r="AJ5" i="8"/>
  <c r="AK5" i="8"/>
  <c r="AL5" i="8"/>
  <c r="AM5" i="8"/>
  <c r="AN5" i="8"/>
  <c r="AO5" i="8"/>
  <c r="AP5" i="8"/>
  <c r="S5" i="8"/>
  <c r="T5" i="8"/>
  <c r="U5" i="8"/>
  <c r="V5" i="8"/>
  <c r="W5" i="8"/>
  <c r="X5" i="8"/>
  <c r="Y5" i="8"/>
  <c r="Z5" i="8"/>
  <c r="AA5" i="8"/>
  <c r="AB5" i="8"/>
  <c r="AC5" i="8"/>
  <c r="AD5" i="8"/>
  <c r="H86" i="9"/>
  <c r="BD18" i="8" l="1"/>
  <c r="BE18" i="8"/>
  <c r="BF18" i="8"/>
  <c r="BG18" i="8"/>
  <c r="BH18" i="8"/>
  <c r="BI18" i="8"/>
  <c r="BJ18" i="8"/>
  <c r="BK18" i="8"/>
  <c r="BL18" i="8"/>
  <c r="BM18" i="8"/>
  <c r="BN18" i="8"/>
  <c r="BC18" i="8"/>
  <c r="BD17" i="8"/>
  <c r="BE17" i="8"/>
  <c r="BF17" i="8"/>
  <c r="BG17" i="8"/>
  <c r="BH17" i="8"/>
  <c r="BI17" i="8"/>
  <c r="BJ17" i="8"/>
  <c r="BK17" i="8"/>
  <c r="BL17" i="8"/>
  <c r="BM17" i="8"/>
  <c r="BN17" i="8"/>
  <c r="BC17" i="8"/>
  <c r="BD15" i="8"/>
  <c r="BE15" i="8"/>
  <c r="BF15" i="8"/>
  <c r="BG15" i="8"/>
  <c r="BH15" i="8"/>
  <c r="BI15" i="8"/>
  <c r="BJ15" i="8"/>
  <c r="BK15" i="8"/>
  <c r="BL15" i="8"/>
  <c r="BM15" i="8"/>
  <c r="BN15" i="8"/>
  <c r="BC15" i="8"/>
  <c r="BD13" i="8"/>
  <c r="BE13" i="8"/>
  <c r="BF13" i="8"/>
  <c r="BG13" i="8"/>
  <c r="BH13" i="8"/>
  <c r="BI13" i="8"/>
  <c r="BJ13" i="8"/>
  <c r="BK13" i="8"/>
  <c r="BL13" i="8"/>
  <c r="BM13" i="8"/>
  <c r="BN13" i="8"/>
  <c r="BC13" i="8"/>
  <c r="BD12" i="8"/>
  <c r="BE12" i="8"/>
  <c r="BF12" i="8"/>
  <c r="BG12" i="8"/>
  <c r="BH12" i="8"/>
  <c r="BI12" i="8"/>
  <c r="BJ12" i="8"/>
  <c r="BK12" i="8"/>
  <c r="BL12" i="8"/>
  <c r="BM12" i="8"/>
  <c r="BN12" i="8"/>
  <c r="BC12" i="8"/>
  <c r="BD11" i="8"/>
  <c r="BE11" i="8"/>
  <c r="BF11" i="8"/>
  <c r="BG11" i="8"/>
  <c r="BH11" i="8"/>
  <c r="BI11" i="8"/>
  <c r="BJ11" i="8"/>
  <c r="BK11" i="8"/>
  <c r="BL11" i="8"/>
  <c r="BM11" i="8"/>
  <c r="BN11" i="8"/>
  <c r="BC11" i="8"/>
  <c r="BD10" i="8"/>
  <c r="BE10" i="8"/>
  <c r="BF10" i="8"/>
  <c r="BG10" i="8"/>
  <c r="BH10" i="8"/>
  <c r="BI10" i="8"/>
  <c r="BJ10" i="8"/>
  <c r="BK10" i="8"/>
  <c r="BL10" i="8"/>
  <c r="BM10" i="8"/>
  <c r="BN10" i="8"/>
  <c r="BC10" i="8"/>
  <c r="BD9" i="8"/>
  <c r="BE9" i="8"/>
  <c r="BF9" i="8"/>
  <c r="BG9" i="8"/>
  <c r="BH9" i="8"/>
  <c r="BI9" i="8"/>
  <c r="BJ9" i="8"/>
  <c r="BK9" i="8"/>
  <c r="BL9" i="8"/>
  <c r="BM9" i="8"/>
  <c r="BN9" i="8"/>
  <c r="BC9" i="8"/>
  <c r="BE8" i="8"/>
  <c r="BF8" i="8"/>
  <c r="BG8" i="8"/>
  <c r="BH8" i="8"/>
  <c r="BI8" i="8"/>
  <c r="BJ8" i="8"/>
  <c r="BK8" i="8"/>
  <c r="BL8" i="8"/>
  <c r="BM8" i="8"/>
  <c r="BN8" i="8"/>
  <c r="BO8" i="8"/>
  <c r="BD8" i="8"/>
  <c r="BN37" i="8"/>
  <c r="BN33" i="8"/>
  <c r="BN30" i="8"/>
  <c r="BN27" i="8"/>
  <c r="AY18" i="8"/>
  <c r="AZ18" i="8"/>
  <c r="BA18" i="8"/>
  <c r="BB18" i="8"/>
  <c r="AR18" i="8"/>
  <c r="AS18" i="8"/>
  <c r="AT18" i="8"/>
  <c r="AU18" i="8"/>
  <c r="AV18" i="8"/>
  <c r="AW18" i="8"/>
  <c r="AX18" i="8"/>
  <c r="AQ18" i="8"/>
  <c r="AR17" i="8"/>
  <c r="AS17" i="8"/>
  <c r="AT17" i="8"/>
  <c r="AU17" i="8"/>
  <c r="AV17" i="8"/>
  <c r="AW17" i="8"/>
  <c r="AX17" i="8"/>
  <c r="AY17" i="8"/>
  <c r="AZ17" i="8"/>
  <c r="BA17" i="8"/>
  <c r="BB17" i="8"/>
  <c r="AQ17" i="8"/>
  <c r="AP17" i="8"/>
  <c r="AR15" i="8"/>
  <c r="AS15" i="8"/>
  <c r="AT15" i="8"/>
  <c r="AU15" i="8"/>
  <c r="AV15" i="8"/>
  <c r="AW15" i="8"/>
  <c r="AX15" i="8"/>
  <c r="AY15" i="8"/>
  <c r="AZ15" i="8"/>
  <c r="BA15" i="8"/>
  <c r="BB15" i="8"/>
  <c r="AQ15" i="8"/>
  <c r="AR13" i="8"/>
  <c r="AS13" i="8"/>
  <c r="AT13" i="8"/>
  <c r="AU13" i="8"/>
  <c r="AV13" i="8"/>
  <c r="AW13" i="8"/>
  <c r="AX13" i="8"/>
  <c r="AY13" i="8"/>
  <c r="AZ13" i="8"/>
  <c r="BA13" i="8"/>
  <c r="BB13" i="8"/>
  <c r="AQ13" i="8"/>
  <c r="AR12" i="8"/>
  <c r="AS12" i="8"/>
  <c r="AT12" i="8"/>
  <c r="AU12" i="8"/>
  <c r="AV12" i="8"/>
  <c r="AW12" i="8"/>
  <c r="AX12" i="8"/>
  <c r="AY12" i="8"/>
  <c r="AZ12" i="8"/>
  <c r="BA12" i="8"/>
  <c r="BB12" i="8"/>
  <c r="AQ12" i="8"/>
  <c r="AR11" i="8"/>
  <c r="AS11" i="8"/>
  <c r="AT11" i="8"/>
  <c r="AU11" i="8"/>
  <c r="AV11" i="8"/>
  <c r="AW11" i="8"/>
  <c r="AX11" i="8"/>
  <c r="AY11" i="8"/>
  <c r="AZ11" i="8"/>
  <c r="BA11" i="8"/>
  <c r="BB11" i="8"/>
  <c r="AQ11" i="8"/>
  <c r="AR10" i="8"/>
  <c r="AS10" i="8"/>
  <c r="AT10" i="8"/>
  <c r="AU10" i="8"/>
  <c r="AV10" i="8"/>
  <c r="AW10" i="8"/>
  <c r="AX10" i="8"/>
  <c r="AY10" i="8"/>
  <c r="AZ10" i="8"/>
  <c r="BA10" i="8"/>
  <c r="BB10" i="8"/>
  <c r="AQ10" i="8"/>
  <c r="AR9" i="8"/>
  <c r="AS9" i="8"/>
  <c r="AT9" i="8"/>
  <c r="AU9" i="8"/>
  <c r="AV9" i="8"/>
  <c r="AW9" i="8"/>
  <c r="AX9" i="8"/>
  <c r="AY9" i="8"/>
  <c r="AZ9" i="8"/>
  <c r="BA9" i="8"/>
  <c r="BB9" i="8"/>
  <c r="AQ9" i="8"/>
  <c r="BC8" i="8"/>
  <c r="AS8" i="8"/>
  <c r="AT8" i="8"/>
  <c r="AU8" i="8"/>
  <c r="AV8" i="8"/>
  <c r="AW8" i="8"/>
  <c r="AX8" i="8"/>
  <c r="AY8" i="8"/>
  <c r="AZ8" i="8"/>
  <c r="BA8" i="8"/>
  <c r="BB8" i="8"/>
  <c r="AR8" i="8"/>
  <c r="BB37" i="8"/>
  <c r="BB33" i="8"/>
  <c r="BB30" i="8"/>
  <c r="BB27" i="8"/>
  <c r="AE8" i="8"/>
  <c r="BJ2" i="8"/>
  <c r="BK2" i="8"/>
  <c r="BL2" i="8"/>
  <c r="BM2" i="8"/>
  <c r="BN2" i="8"/>
  <c r="BF2" i="8"/>
  <c r="BG2" i="8"/>
  <c r="BH2" i="8"/>
  <c r="BI2" i="8"/>
  <c r="BC2" i="8"/>
  <c r="BD2" i="8"/>
  <c r="BE2" i="8"/>
  <c r="AZ2" i="8"/>
  <c r="BA2" i="8"/>
  <c r="BB2" i="8"/>
  <c r="D4" i="1" l="1"/>
  <c r="E4" i="1" s="1"/>
  <c r="E7" i="1" s="1"/>
  <c r="C7" i="1"/>
  <c r="F64" i="9"/>
  <c r="G64" i="9" s="1"/>
  <c r="F62" i="9"/>
  <c r="G62" i="9" s="1"/>
  <c r="F61" i="9"/>
  <c r="G61" i="9"/>
  <c r="F60" i="9"/>
  <c r="G60" i="9" s="1"/>
  <c r="F59" i="9"/>
  <c r="G59" i="9"/>
  <c r="F70" i="9"/>
  <c r="G70" i="9" s="1"/>
  <c r="F55" i="9"/>
  <c r="G55" i="9" s="1"/>
  <c r="F56" i="9"/>
  <c r="G56" i="9"/>
  <c r="F57" i="9"/>
  <c r="G57" i="9" s="1"/>
  <c r="F58" i="9"/>
  <c r="G58" i="9"/>
  <c r="C13" i="1"/>
  <c r="C15" i="1"/>
  <c r="C16" i="1"/>
  <c r="C6" i="6"/>
  <c r="C14" i="6"/>
  <c r="C17" i="6"/>
  <c r="K18" i="8" s="1"/>
  <c r="G18" i="8"/>
  <c r="H15" i="8"/>
  <c r="H18" i="8"/>
  <c r="I17" i="8"/>
  <c r="I15" i="8"/>
  <c r="I18" i="8"/>
  <c r="J17" i="8"/>
  <c r="J18" i="8"/>
  <c r="K7" i="8"/>
  <c r="L18" i="8"/>
  <c r="L17" i="8"/>
  <c r="M17" i="8"/>
  <c r="M18" i="8"/>
  <c r="C12" i="6"/>
  <c r="M13" i="8" s="1"/>
  <c r="M15" i="8"/>
  <c r="N13" i="8"/>
  <c r="N15" i="8"/>
  <c r="O18" i="8"/>
  <c r="P17" i="8"/>
  <c r="P18" i="8"/>
  <c r="Q7" i="8"/>
  <c r="Q15" i="8"/>
  <c r="Q18" i="8"/>
  <c r="R13" i="8"/>
  <c r="R18" i="8"/>
  <c r="D8" i="6"/>
  <c r="S9" i="8"/>
  <c r="D7" i="1"/>
  <c r="D14" i="6"/>
  <c r="S15" i="8"/>
  <c r="D17" i="6"/>
  <c r="T15" i="8"/>
  <c r="U7" i="8"/>
  <c r="U15" i="8"/>
  <c r="V7" i="8"/>
  <c r="V15" i="8"/>
  <c r="W15" i="8"/>
  <c r="X15" i="8"/>
  <c r="Y7" i="8"/>
  <c r="Y15" i="8"/>
  <c r="Z7" i="8"/>
  <c r="Z15" i="8"/>
  <c r="Z17" i="8"/>
  <c r="AA13" i="8"/>
  <c r="AA15" i="8"/>
  <c r="N4" i="9"/>
  <c r="O4" i="9" s="1"/>
  <c r="P4" i="9" s="1"/>
  <c r="Q4" i="9" s="1"/>
  <c r="R4" i="9" s="1"/>
  <c r="S4" i="9" s="1"/>
  <c r="T4" i="9" s="1"/>
  <c r="U4" i="9" s="1"/>
  <c r="V4" i="9" s="1"/>
  <c r="W4" i="9" s="1"/>
  <c r="X4" i="9" s="1"/>
  <c r="Y4" i="9" s="1"/>
  <c r="Z4" i="9" s="1"/>
  <c r="AA4" i="9" s="1"/>
  <c r="AB4" i="9" s="1"/>
  <c r="AC4" i="9" s="1"/>
  <c r="AD4" i="9" s="1"/>
  <c r="AE4" i="9" s="1"/>
  <c r="AF4" i="9" s="1"/>
  <c r="AG4" i="9" s="1"/>
  <c r="AH4" i="9" s="1"/>
  <c r="AI4" i="9" s="1"/>
  <c r="AJ4" i="9" s="1"/>
  <c r="AK4" i="9" s="1"/>
  <c r="AL4" i="9" s="1"/>
  <c r="AM4" i="9" s="1"/>
  <c r="AN4" i="9" s="1"/>
  <c r="AO4" i="9" s="1"/>
  <c r="AP4" i="9" s="1"/>
  <c r="AQ4" i="9" s="1"/>
  <c r="AR4" i="9" s="1"/>
  <c r="AS4" i="9" s="1"/>
  <c r="AT4" i="9" s="1"/>
  <c r="AU4" i="9" s="1"/>
  <c r="AV4" i="9" s="1"/>
  <c r="AW4" i="9" s="1"/>
  <c r="AX4" i="9" s="1"/>
  <c r="AY4" i="9" s="1"/>
  <c r="AZ4" i="9" s="1"/>
  <c r="BA4" i="9" s="1"/>
  <c r="BB4" i="9" s="1"/>
  <c r="BC4" i="9" s="1"/>
  <c r="BD4" i="9" s="1"/>
  <c r="BE4" i="9" s="1"/>
  <c r="BF4" i="9" s="1"/>
  <c r="BG4" i="9" s="1"/>
  <c r="BH4" i="9" s="1"/>
  <c r="BI4" i="9" s="1"/>
  <c r="BJ4" i="9" s="1"/>
  <c r="BK4" i="9" s="1"/>
  <c r="BL4" i="9" s="1"/>
  <c r="BM4" i="9" s="1"/>
  <c r="BN4" i="9" s="1"/>
  <c r="F26" i="1"/>
  <c r="G26" i="1" s="1"/>
  <c r="E57" i="1"/>
  <c r="D34" i="1"/>
  <c r="D12" i="6" s="1"/>
  <c r="T13" i="8" s="1"/>
  <c r="E34" i="1"/>
  <c r="F4" i="1"/>
  <c r="G4" i="1" s="1"/>
  <c r="G7" i="1" s="1"/>
  <c r="G45" i="1" s="1"/>
  <c r="G15" i="6" s="1"/>
  <c r="F7" i="1"/>
  <c r="E26" i="1"/>
  <c r="G47" i="1"/>
  <c r="F47" i="1"/>
  <c r="E20" i="1"/>
  <c r="G18" i="1"/>
  <c r="E18" i="1"/>
  <c r="D18" i="1"/>
  <c r="C18" i="1"/>
  <c r="C8" i="6" s="1"/>
  <c r="B16" i="11"/>
  <c r="C75" i="1"/>
  <c r="C46" i="1"/>
  <c r="C16" i="6" s="1"/>
  <c r="C47" i="1"/>
  <c r="C30" i="1"/>
  <c r="C31" i="1"/>
  <c r="D75" i="1"/>
  <c r="D46" i="1"/>
  <c r="D16" i="6" s="1"/>
  <c r="D47" i="1"/>
  <c r="D27" i="1"/>
  <c r="D22" i="1"/>
  <c r="D30" i="1"/>
  <c r="D31" i="1"/>
  <c r="D32" i="1"/>
  <c r="D33" i="1"/>
  <c r="D35" i="1"/>
  <c r="D13" i="1"/>
  <c r="D15" i="1"/>
  <c r="D16" i="1"/>
  <c r="D6" i="6" s="1"/>
  <c r="T7" i="8" s="1"/>
  <c r="AB15" i="8"/>
  <c r="AB18" i="8"/>
  <c r="AB13" i="8"/>
  <c r="AB7" i="8"/>
  <c r="AC9" i="8"/>
  <c r="AC15" i="8"/>
  <c r="AC18" i="8"/>
  <c r="AC7" i="8"/>
  <c r="AD9" i="8"/>
  <c r="AD15" i="8"/>
  <c r="AD18" i="8"/>
  <c r="AD13" i="8"/>
  <c r="AD7" i="8"/>
  <c r="E22" i="1"/>
  <c r="AB11" i="8"/>
  <c r="AA11" i="8"/>
  <c r="Z11" i="8"/>
  <c r="Y11" i="8"/>
  <c r="X11" i="8"/>
  <c r="W11" i="8"/>
  <c r="V11" i="8"/>
  <c r="U11" i="8"/>
  <c r="AD11" i="8" s="1"/>
  <c r="T11" i="8"/>
  <c r="R11" i="8"/>
  <c r="Q11" i="8"/>
  <c r="P11" i="8"/>
  <c r="O11" i="8"/>
  <c r="N11" i="8"/>
  <c r="M11" i="8"/>
  <c r="L11" i="8"/>
  <c r="K11" i="8"/>
  <c r="J11" i="8"/>
  <c r="I11" i="8"/>
  <c r="D2" i="8"/>
  <c r="E2" i="8" s="1"/>
  <c r="F2" i="8" s="1"/>
  <c r="G2" i="8" s="1"/>
  <c r="H2" i="8" s="1"/>
  <c r="I2" i="8" s="1"/>
  <c r="J2" i="8" s="1"/>
  <c r="K2" i="8" s="1"/>
  <c r="L2" i="8" s="1"/>
  <c r="M2" i="8" s="1"/>
  <c r="N2" i="8" s="1"/>
  <c r="O2" i="8"/>
  <c r="P2" i="8" s="1"/>
  <c r="Q2" i="8" s="1"/>
  <c r="R2" i="8" s="1"/>
  <c r="S2" i="8" s="1"/>
  <c r="T2" i="8"/>
  <c r="U2" i="8" s="1"/>
  <c r="V2" i="8" s="1"/>
  <c r="W2" i="8" s="1"/>
  <c r="X2" i="8" s="1"/>
  <c r="Y2" i="8" s="1"/>
  <c r="Z2" i="8" s="1"/>
  <c r="AA2" i="8" s="1"/>
  <c r="AB2" i="8" s="1"/>
  <c r="AC2" i="8" s="1"/>
  <c r="AD2" i="8" s="1"/>
  <c r="AE2" i="8"/>
  <c r="AF2" i="8" s="1"/>
  <c r="AG2" i="8" s="1"/>
  <c r="AH2" i="8" s="1"/>
  <c r="AI2" i="8" s="1"/>
  <c r="AJ2" i="8" s="1"/>
  <c r="AK2" i="8" s="1"/>
  <c r="AL2" i="8" s="1"/>
  <c r="AM2" i="8" s="1"/>
  <c r="AN2" i="8" s="1"/>
  <c r="AO2" i="8" s="1"/>
  <c r="AP2" i="8" s="1"/>
  <c r="AQ2" i="8" s="1"/>
  <c r="AR2" i="8" s="1"/>
  <c r="AS2" i="8" s="1"/>
  <c r="AT2" i="8" s="1"/>
  <c r="AU2" i="8" s="1"/>
  <c r="AV2" i="8" s="1"/>
  <c r="AW2" i="8" s="1"/>
  <c r="AX2" i="8" s="1"/>
  <c r="AY2" i="8" s="1"/>
  <c r="F20" i="1"/>
  <c r="G20" i="1" s="1"/>
  <c r="G21" i="1"/>
  <c r="F22" i="1"/>
  <c r="G22" i="1"/>
  <c r="D10" i="6"/>
  <c r="C27" i="1"/>
  <c r="C10" i="6" s="1"/>
  <c r="G10" i="1"/>
  <c r="G75" i="1"/>
  <c r="G76" i="1" s="1"/>
  <c r="G78" i="1" s="1"/>
  <c r="G19" i="1"/>
  <c r="G9" i="6" s="1"/>
  <c r="G46" i="1"/>
  <c r="G16" i="6" s="1"/>
  <c r="G32" i="1"/>
  <c r="G33" i="1"/>
  <c r="G34" i="1"/>
  <c r="G35" i="1"/>
  <c r="G13" i="1"/>
  <c r="G15" i="1"/>
  <c r="G16" i="1"/>
  <c r="G6" i="6" s="1"/>
  <c r="F49" i="1"/>
  <c r="F16" i="6" s="1"/>
  <c r="G49" i="1"/>
  <c r="E23" i="1"/>
  <c r="F46" i="1"/>
  <c r="E46" i="1"/>
  <c r="F19" i="1"/>
  <c r="E19" i="1"/>
  <c r="E9" i="6" s="1"/>
  <c r="F18" i="1"/>
  <c r="F8" i="6" s="1"/>
  <c r="E75" i="1"/>
  <c r="F23" i="1"/>
  <c r="E47" i="1"/>
  <c r="F75" i="1"/>
  <c r="F76" i="1"/>
  <c r="F78" i="1"/>
  <c r="E76" i="1"/>
  <c r="E78" i="1"/>
  <c r="C76" i="1"/>
  <c r="C78" i="1"/>
  <c r="D8" i="1"/>
  <c r="E8" i="1"/>
  <c r="E9" i="1" s="1"/>
  <c r="E10" i="1" s="1"/>
  <c r="F53" i="1"/>
  <c r="F57" i="1" s="1"/>
  <c r="F17" i="6" s="1"/>
  <c r="F34" i="1"/>
  <c r="F12" i="6" s="1"/>
  <c r="F35" i="1"/>
  <c r="E35" i="1"/>
  <c r="D24" i="1"/>
  <c r="D28" i="1" s="1"/>
  <c r="E24" i="1"/>
  <c r="F24" i="1" s="1"/>
  <c r="G24" i="1" s="1"/>
  <c r="E25" i="1"/>
  <c r="F25" i="1"/>
  <c r="F27" i="1" s="1"/>
  <c r="G25" i="1"/>
  <c r="F39" i="9"/>
  <c r="G39" i="9" s="1"/>
  <c r="F65" i="9"/>
  <c r="G65" i="9" s="1"/>
  <c r="F32" i="9"/>
  <c r="G32" i="9" s="1"/>
  <c r="F40" i="9"/>
  <c r="G40" i="9"/>
  <c r="F41" i="9"/>
  <c r="G41" i="9"/>
  <c r="F42" i="9"/>
  <c r="G42" i="9" s="1"/>
  <c r="F43" i="9"/>
  <c r="F44" i="9"/>
  <c r="G44" i="9" s="1"/>
  <c r="F45" i="9"/>
  <c r="G45" i="9" s="1"/>
  <c r="F51" i="9"/>
  <c r="G51" i="9" s="1"/>
  <c r="G67" i="9"/>
  <c r="F68" i="9"/>
  <c r="G68" i="9" s="1"/>
  <c r="F69" i="9"/>
  <c r="G69" i="9" s="1"/>
  <c r="G72" i="9"/>
  <c r="G79" i="9"/>
  <c r="L4" i="9"/>
  <c r="K4" i="9"/>
  <c r="J4" i="9" s="1"/>
  <c r="I4" i="9" s="1"/>
  <c r="H4" i="9" s="1"/>
  <c r="F31" i="9"/>
  <c r="F33" i="9"/>
  <c r="F34" i="9"/>
  <c r="F35" i="9"/>
  <c r="F36" i="9"/>
  <c r="F37" i="9"/>
  <c r="F38" i="9"/>
  <c r="F28" i="9"/>
  <c r="E8" i="6"/>
  <c r="E16" i="6"/>
  <c r="E13" i="1"/>
  <c r="E15" i="1"/>
  <c r="E16" i="1" s="1"/>
  <c r="E6" i="6" s="1"/>
  <c r="AI7" i="8" s="1"/>
  <c r="E21" i="1"/>
  <c r="E31" i="1"/>
  <c r="E32" i="1"/>
  <c r="E33" i="1"/>
  <c r="E12" i="6"/>
  <c r="E17" i="6"/>
  <c r="AH18" i="8" s="1"/>
  <c r="E14" i="6"/>
  <c r="AL15" i="8" s="1"/>
  <c r="F8" i="1"/>
  <c r="F9" i="1" s="1"/>
  <c r="F9" i="6"/>
  <c r="F13" i="1"/>
  <c r="F15" i="1"/>
  <c r="F16" i="1"/>
  <c r="F6" i="6"/>
  <c r="F32" i="1"/>
  <c r="F33" i="1"/>
  <c r="F14" i="6"/>
  <c r="G8" i="1"/>
  <c r="G9" i="1" s="1"/>
  <c r="G8" i="6"/>
  <c r="G12" i="6"/>
  <c r="G14" i="6"/>
  <c r="B3" i="11"/>
  <c r="B4" i="11" s="1"/>
  <c r="B6" i="11" s="1"/>
  <c r="B8" i="11" s="1"/>
  <c r="F16" i="11"/>
  <c r="G16" i="11" s="1"/>
  <c r="B7" i="11"/>
  <c r="AF18" i="8"/>
  <c r="AG18" i="8"/>
  <c r="AL18" i="8"/>
  <c r="AM18" i="8"/>
  <c r="AN18" i="8"/>
  <c r="AO18" i="8"/>
  <c r="AH17" i="8"/>
  <c r="AI17" i="8"/>
  <c r="AJ17" i="8"/>
  <c r="AK17" i="8"/>
  <c r="AH15" i="8"/>
  <c r="AI15" i="8"/>
  <c r="AJ15" i="8"/>
  <c r="AK15" i="8"/>
  <c r="AP15" i="8"/>
  <c r="AE15" i="8"/>
  <c r="AF13" i="8"/>
  <c r="AG13" i="8"/>
  <c r="AH13" i="8"/>
  <c r="AI13" i="8"/>
  <c r="AJ13" i="8"/>
  <c r="AK13" i="8"/>
  <c r="AL13" i="8"/>
  <c r="AM13" i="8"/>
  <c r="AN13" i="8"/>
  <c r="AO13" i="8"/>
  <c r="AP13" i="8"/>
  <c r="AE13" i="8"/>
  <c r="AM10" i="8"/>
  <c r="AN10" i="8"/>
  <c r="AF9" i="8"/>
  <c r="AG9" i="8"/>
  <c r="AH9" i="8"/>
  <c r="AI9" i="8"/>
  <c r="AJ9" i="8"/>
  <c r="AK9" i="8"/>
  <c r="AL9" i="8"/>
  <c r="AM9" i="8"/>
  <c r="AN9" i="8"/>
  <c r="AO9" i="8"/>
  <c r="AP9" i="8"/>
  <c r="AE9" i="8"/>
  <c r="AF7" i="8"/>
  <c r="AG7" i="8"/>
  <c r="AH7" i="8"/>
  <c r="AN7" i="8"/>
  <c r="AP7" i="8"/>
  <c r="AE7" i="8"/>
  <c r="AP37" i="8"/>
  <c r="AP33" i="8"/>
  <c r="AP30" i="8"/>
  <c r="AP27" i="8"/>
  <c r="F27" i="9"/>
  <c r="F29" i="9"/>
  <c r="F30" i="9"/>
  <c r="F46" i="9"/>
  <c r="F47" i="9"/>
  <c r="F48" i="9"/>
  <c r="F52" i="9"/>
  <c r="F54" i="9"/>
  <c r="AD37" i="8"/>
  <c r="AD33" i="8"/>
  <c r="AD30" i="8"/>
  <c r="AD27" i="8"/>
  <c r="R37" i="8"/>
  <c r="R33" i="8"/>
  <c r="R30" i="8"/>
  <c r="R28" i="8"/>
  <c r="B7" i="8"/>
  <c r="B8" i="8"/>
  <c r="B9" i="8"/>
  <c r="B11" i="8"/>
  <c r="B12" i="8"/>
  <c r="B13" i="8"/>
  <c r="B14" i="8"/>
  <c r="B15" i="8"/>
  <c r="B16" i="8"/>
  <c r="B17" i="8"/>
  <c r="B18" i="8"/>
  <c r="B19" i="8"/>
  <c r="B6" i="8"/>
  <c r="C11" i="7"/>
  <c r="J8" i="7" s="1"/>
  <c r="G4" i="6"/>
  <c r="D4" i="6"/>
  <c r="E4" i="6"/>
  <c r="F4" i="6"/>
  <c r="C4" i="6"/>
  <c r="R17" i="7"/>
  <c r="S15" i="7"/>
  <c r="C12" i="7"/>
  <c r="J9" i="7" s="1"/>
  <c r="C8" i="1"/>
  <c r="E77" i="1"/>
  <c r="C80" i="1"/>
  <c r="D80" i="1"/>
  <c r="E80" i="1"/>
  <c r="F80" i="1"/>
  <c r="G80" i="1"/>
  <c r="G77" i="1"/>
  <c r="F77" i="1"/>
  <c r="D77" i="1"/>
  <c r="BH16" i="8" l="1"/>
  <c r="BN16" i="8"/>
  <c r="BI16" i="8"/>
  <c r="BJ16" i="8"/>
  <c r="BF16" i="8"/>
  <c r="BK16" i="8"/>
  <c r="BG16" i="8"/>
  <c r="BD16" i="8"/>
  <c r="BL16" i="8"/>
  <c r="BC16" i="8"/>
  <c r="BE16" i="8"/>
  <c r="BM16" i="8"/>
  <c r="C19" i="1"/>
  <c r="C9" i="6" s="1"/>
  <c r="C9" i="1"/>
  <c r="C10" i="1" s="1"/>
  <c r="C13" i="7"/>
  <c r="AM7" i="8"/>
  <c r="AI10" i="8"/>
  <c r="AE10" i="8"/>
  <c r="AJ10" i="8"/>
  <c r="AK10" i="8"/>
  <c r="AL10" i="8"/>
  <c r="AH10" i="8"/>
  <c r="AL17" i="8"/>
  <c r="AM17" i="8"/>
  <c r="AF17" i="8"/>
  <c r="AN17" i="8"/>
  <c r="AG17" i="8"/>
  <c r="AO17" i="8"/>
  <c r="D9" i="1"/>
  <c r="D10" i="1" s="1"/>
  <c r="D19" i="1"/>
  <c r="D9" i="6" s="1"/>
  <c r="AL7" i="8"/>
  <c r="AK7" i="8"/>
  <c r="G23" i="1"/>
  <c r="F31" i="1"/>
  <c r="G27" i="1"/>
  <c r="G31" i="1"/>
  <c r="C16" i="11"/>
  <c r="E16" i="11"/>
  <c r="E5" i="6"/>
  <c r="E36" i="1"/>
  <c r="E66" i="1"/>
  <c r="E18" i="6" s="1"/>
  <c r="AP19" i="8" s="1"/>
  <c r="E38" i="1"/>
  <c r="AO7" i="8"/>
  <c r="AG10" i="8"/>
  <c r="AF10" i="8"/>
  <c r="C17" i="1"/>
  <c r="C7" i="6" s="1"/>
  <c r="AJ7" i="8"/>
  <c r="AP10" i="8"/>
  <c r="AE17" i="8"/>
  <c r="S17" i="8"/>
  <c r="T17" i="8"/>
  <c r="AD17" i="8"/>
  <c r="X17" i="8"/>
  <c r="U17" i="8"/>
  <c r="Y17" i="8"/>
  <c r="AA17" i="8"/>
  <c r="AC17" i="8"/>
  <c r="V17" i="8"/>
  <c r="AB17" i="8"/>
  <c r="W17" i="8"/>
  <c r="L9" i="8"/>
  <c r="H9" i="8"/>
  <c r="K9" i="8"/>
  <c r="P9" i="8"/>
  <c r="Q9" i="8"/>
  <c r="G9" i="8"/>
  <c r="N9" i="8"/>
  <c r="R9" i="8"/>
  <c r="I9" i="8"/>
  <c r="M9" i="8"/>
  <c r="J9" i="8"/>
  <c r="O9" i="8"/>
  <c r="F10" i="1"/>
  <c r="F45" i="1"/>
  <c r="F15" i="6" s="1"/>
  <c r="AO10" i="8"/>
  <c r="E27" i="1"/>
  <c r="E28" i="1"/>
  <c r="G53" i="1"/>
  <c r="D17" i="1"/>
  <c r="D7" i="6" s="1"/>
  <c r="AO15" i="8"/>
  <c r="AG15" i="8"/>
  <c r="AK18" i="8"/>
  <c r="G5" i="6"/>
  <c r="G66" i="1"/>
  <c r="G18" i="6" s="1"/>
  <c r="G7" i="8"/>
  <c r="R7" i="8"/>
  <c r="J7" i="8"/>
  <c r="L7" i="8"/>
  <c r="O7" i="8"/>
  <c r="H7" i="8"/>
  <c r="I7" i="8"/>
  <c r="M7" i="8"/>
  <c r="P7" i="8"/>
  <c r="AN15" i="8"/>
  <c r="AF15" i="8"/>
  <c r="AJ18" i="8"/>
  <c r="G81" i="9"/>
  <c r="D76" i="1"/>
  <c r="D78" i="1" s="1"/>
  <c r="AC11" i="8"/>
  <c r="D11" i="6"/>
  <c r="AM15" i="8"/>
  <c r="AE18" i="8"/>
  <c r="AI18" i="8"/>
  <c r="G38" i="1"/>
  <c r="F28" i="1"/>
  <c r="F30" i="1" s="1"/>
  <c r="F11" i="6" s="1"/>
  <c r="F10" i="6"/>
  <c r="R17" i="8"/>
  <c r="K17" i="8"/>
  <c r="O17" i="8"/>
  <c r="Q17" i="8"/>
  <c r="H17" i="8"/>
  <c r="G17" i="8"/>
  <c r="N17" i="8"/>
  <c r="AP18" i="8"/>
  <c r="D45" i="1"/>
  <c r="D15" i="6" s="1"/>
  <c r="N7" i="8"/>
  <c r="U9" i="8"/>
  <c r="V9" i="8"/>
  <c r="W9" i="8"/>
  <c r="X9" i="8"/>
  <c r="Y9" i="8"/>
  <c r="Z9" i="8"/>
  <c r="AA9" i="8"/>
  <c r="C11" i="6"/>
  <c r="U13" i="8"/>
  <c r="V13" i="8"/>
  <c r="W13" i="8"/>
  <c r="X13" i="8"/>
  <c r="Y13" i="8"/>
  <c r="T9" i="8"/>
  <c r="AA7" i="8"/>
  <c r="Z13" i="8"/>
  <c r="U18" i="8"/>
  <c r="V18" i="8"/>
  <c r="W18" i="8"/>
  <c r="X18" i="8"/>
  <c r="Y18" i="8"/>
  <c r="Z18" i="8"/>
  <c r="AA18" i="8"/>
  <c r="S18" i="8"/>
  <c r="S7" i="8"/>
  <c r="AB9" i="8"/>
  <c r="X7" i="8"/>
  <c r="AC13" i="8"/>
  <c r="T18" i="8"/>
  <c r="S13" i="8"/>
  <c r="C45" i="1"/>
  <c r="C15" i="6" s="1"/>
  <c r="W7" i="8"/>
  <c r="Q13" i="8"/>
  <c r="O13" i="8"/>
  <c r="P13" i="8"/>
  <c r="R15" i="8"/>
  <c r="J15" i="8"/>
  <c r="K15" i="8"/>
  <c r="L15" i="8"/>
  <c r="O15" i="8"/>
  <c r="P15" i="8"/>
  <c r="E45" i="1"/>
  <c r="E15" i="6" s="1"/>
  <c r="N18" i="8"/>
  <c r="AQ6" i="8" l="1"/>
  <c r="AF6" i="8"/>
  <c r="BD19" i="8"/>
  <c r="BL19" i="8"/>
  <c r="BE19" i="8"/>
  <c r="BM19" i="8"/>
  <c r="BK19" i="8"/>
  <c r="BF19" i="8"/>
  <c r="BN19" i="8"/>
  <c r="BG19" i="8"/>
  <c r="BC19" i="8"/>
  <c r="BH19" i="8"/>
  <c r="BI19" i="8"/>
  <c r="BJ19" i="8"/>
  <c r="BE6" i="8"/>
  <c r="BM6" i="8"/>
  <c r="BF6" i="8"/>
  <c r="BN6" i="8"/>
  <c r="BL6" i="8"/>
  <c r="BG6" i="8"/>
  <c r="BO6" i="8"/>
  <c r="BK6" i="8"/>
  <c r="BH6" i="8"/>
  <c r="BD6" i="8"/>
  <c r="BI6" i="8"/>
  <c r="BJ6" i="8"/>
  <c r="AS16" i="8"/>
  <c r="BA16" i="8"/>
  <c r="AR16" i="8"/>
  <c r="AT16" i="8"/>
  <c r="BB16" i="8"/>
  <c r="AU16" i="8"/>
  <c r="AQ16" i="8"/>
  <c r="AZ16" i="8"/>
  <c r="AV16" i="8"/>
  <c r="AY16" i="8"/>
  <c r="AW16" i="8"/>
  <c r="AX16" i="8"/>
  <c r="D16" i="11"/>
  <c r="H16" i="11" s="1"/>
  <c r="B17" i="11" s="1"/>
  <c r="F66" i="1"/>
  <c r="F18" i="6" s="1"/>
  <c r="F5" i="6"/>
  <c r="F36" i="1"/>
  <c r="F38" i="1"/>
  <c r="G57" i="1"/>
  <c r="G17" i="6"/>
  <c r="G30" i="1"/>
  <c r="G11" i="6" s="1"/>
  <c r="G82" i="9"/>
  <c r="G84" i="9"/>
  <c r="AL19" i="8"/>
  <c r="AM19" i="8"/>
  <c r="AF19" i="8"/>
  <c r="AN19" i="8"/>
  <c r="AG19" i="8"/>
  <c r="AO19" i="8"/>
  <c r="AH19" i="8"/>
  <c r="AK19" i="8"/>
  <c r="AI19" i="8"/>
  <c r="AJ19" i="8"/>
  <c r="AE19" i="8"/>
  <c r="G28" i="1"/>
  <c r="G10" i="6" s="1"/>
  <c r="G36" i="1"/>
  <c r="G13" i="6" s="1"/>
  <c r="E13" i="6"/>
  <c r="S10" i="8"/>
  <c r="T10" i="8"/>
  <c r="U10" i="8"/>
  <c r="V10" i="8"/>
  <c r="W10" i="8"/>
  <c r="X10" i="8"/>
  <c r="Y10" i="8"/>
  <c r="Z10" i="8"/>
  <c r="AA10" i="8"/>
  <c r="AC10" i="8"/>
  <c r="AB10" i="8"/>
  <c r="AD10" i="8"/>
  <c r="M8" i="7"/>
  <c r="E17" i="1" s="1"/>
  <c r="C14" i="7"/>
  <c r="V8" i="8"/>
  <c r="AB8" i="8"/>
  <c r="Z8" i="8"/>
  <c r="AC8" i="8"/>
  <c r="W8" i="8"/>
  <c r="T8" i="8"/>
  <c r="X8" i="8"/>
  <c r="AA8" i="8"/>
  <c r="U8" i="8"/>
  <c r="AD8" i="8"/>
  <c r="Y8" i="8"/>
  <c r="AH16" i="8"/>
  <c r="AP16" i="8"/>
  <c r="AI16" i="8"/>
  <c r="AE16" i="8"/>
  <c r="AJ16" i="8"/>
  <c r="AK16" i="8"/>
  <c r="AG16" i="8"/>
  <c r="AL16" i="8"/>
  <c r="AN16" i="8"/>
  <c r="AF16" i="8"/>
  <c r="AM16" i="8"/>
  <c r="AO16" i="8"/>
  <c r="E10" i="6"/>
  <c r="E30" i="1"/>
  <c r="E11" i="6" s="1"/>
  <c r="J8" i="8"/>
  <c r="L8" i="8"/>
  <c r="M8" i="8"/>
  <c r="H8" i="8"/>
  <c r="I8" i="8"/>
  <c r="N8" i="8"/>
  <c r="O8" i="8"/>
  <c r="R8" i="8"/>
  <c r="P8" i="8"/>
  <c r="Q8" i="8"/>
  <c r="K8" i="8"/>
  <c r="S8" i="8"/>
  <c r="AG6" i="8"/>
  <c r="AO6" i="8"/>
  <c r="AH6" i="8"/>
  <c r="AP6" i="8"/>
  <c r="AI6" i="8"/>
  <c r="AM6" i="8"/>
  <c r="AN6" i="8"/>
  <c r="AK6" i="8"/>
  <c r="AL6" i="8"/>
  <c r="AJ6" i="8"/>
  <c r="D36" i="1"/>
  <c r="D13" i="6" s="1"/>
  <c r="D5" i="6"/>
  <c r="AE6" i="8" s="1"/>
  <c r="D66" i="1"/>
  <c r="D18" i="6" s="1"/>
  <c r="C5" i="6"/>
  <c r="C36" i="1"/>
  <c r="C13" i="6" s="1"/>
  <c r="C66" i="1"/>
  <c r="C18" i="6" s="1"/>
  <c r="N10" i="8"/>
  <c r="O10" i="8"/>
  <c r="Q10" i="8"/>
  <c r="G10" i="8"/>
  <c r="H10" i="8"/>
  <c r="R10" i="8"/>
  <c r="I10" i="8"/>
  <c r="L10" i="8"/>
  <c r="M10" i="8"/>
  <c r="P10" i="8"/>
  <c r="J10" i="8"/>
  <c r="K10" i="8"/>
  <c r="M12" i="8"/>
  <c r="O12" i="8"/>
  <c r="P12" i="8"/>
  <c r="G12" i="8"/>
  <c r="J12" i="8"/>
  <c r="K12" i="8"/>
  <c r="L12" i="8"/>
  <c r="Q12" i="8"/>
  <c r="R12" i="8"/>
  <c r="H12" i="8"/>
  <c r="N12" i="8"/>
  <c r="I12" i="8"/>
  <c r="T12" i="8"/>
  <c r="S12" i="8"/>
  <c r="V12" i="8"/>
  <c r="AB12" i="8"/>
  <c r="Z12" i="8"/>
  <c r="W12" i="8"/>
  <c r="AD12" i="8"/>
  <c r="X12" i="8"/>
  <c r="Y12" i="8"/>
  <c r="U12" i="8"/>
  <c r="AC12" i="8"/>
  <c r="AA12" i="8"/>
  <c r="L16" i="8"/>
  <c r="N16" i="8"/>
  <c r="Q16" i="8"/>
  <c r="I16" i="8"/>
  <c r="G16" i="8"/>
  <c r="J16" i="8"/>
  <c r="M16" i="8"/>
  <c r="P16" i="8"/>
  <c r="K16" i="8"/>
  <c r="O16" i="8"/>
  <c r="R16" i="8"/>
  <c r="H16" i="8"/>
  <c r="X16" i="8"/>
  <c r="S16" i="8"/>
  <c r="U16" i="8"/>
  <c r="Y16" i="8"/>
  <c r="AA16" i="8"/>
  <c r="AC16" i="8"/>
  <c r="V16" i="8"/>
  <c r="AD16" i="8"/>
  <c r="W16" i="8"/>
  <c r="Z16" i="8"/>
  <c r="AB16" i="8"/>
  <c r="T16" i="8"/>
  <c r="AX19" i="8" l="1"/>
  <c r="AV19" i="8"/>
  <c r="BB19" i="8"/>
  <c r="AY19" i="8"/>
  <c r="AR19" i="8"/>
  <c r="AZ19" i="8"/>
  <c r="AS19" i="8"/>
  <c r="BA19" i="8"/>
  <c r="AT19" i="8"/>
  <c r="AU19" i="8"/>
  <c r="AQ19" i="8"/>
  <c r="AW19" i="8"/>
  <c r="BH14" i="8"/>
  <c r="BI14" i="8"/>
  <c r="BF14" i="8"/>
  <c r="BN14" i="8"/>
  <c r="BJ14" i="8"/>
  <c r="BC14" i="8"/>
  <c r="BK14" i="8"/>
  <c r="BD14" i="8"/>
  <c r="BL14" i="8"/>
  <c r="BE14" i="8"/>
  <c r="BM14" i="8"/>
  <c r="BG14" i="8"/>
  <c r="BC6" i="8"/>
  <c r="AX6" i="8"/>
  <c r="AY6" i="8"/>
  <c r="AW6" i="8"/>
  <c r="AZ6" i="8"/>
  <c r="AS6" i="8"/>
  <c r="BA6" i="8"/>
  <c r="AT6" i="8"/>
  <c r="BB6" i="8"/>
  <c r="AU6" i="8"/>
  <c r="AR6" i="8"/>
  <c r="AV6" i="8"/>
  <c r="BE84" i="9"/>
  <c r="BK84" i="9"/>
  <c r="BF84" i="9"/>
  <c r="BI84" i="9"/>
  <c r="BM84" i="9"/>
  <c r="BG84" i="9"/>
  <c r="BJ84" i="9"/>
  <c r="BN84" i="9"/>
  <c r="BH84" i="9"/>
  <c r="BL84" i="9"/>
  <c r="BO84" i="9"/>
  <c r="W6" i="8"/>
  <c r="Z6" i="8"/>
  <c r="AC6" i="8"/>
  <c r="AB6" i="8"/>
  <c r="T6" i="8"/>
  <c r="X6" i="8"/>
  <c r="U6" i="8"/>
  <c r="Y6" i="8"/>
  <c r="AA6" i="8"/>
  <c r="AD6" i="8"/>
  <c r="V6" i="8"/>
  <c r="AH12" i="8"/>
  <c r="AP12" i="8"/>
  <c r="AI12" i="8"/>
  <c r="AE12" i="8"/>
  <c r="AJ12" i="8"/>
  <c r="AK12" i="8"/>
  <c r="AF12" i="8"/>
  <c r="AM12" i="8"/>
  <c r="AG12" i="8"/>
  <c r="AL12" i="8"/>
  <c r="AN12" i="8"/>
  <c r="AO12" i="8"/>
  <c r="R14" i="8"/>
  <c r="M14" i="8"/>
  <c r="Q14" i="8"/>
  <c r="H14" i="8"/>
  <c r="I14" i="8"/>
  <c r="N14" i="8"/>
  <c r="J14" i="8"/>
  <c r="K14" i="8"/>
  <c r="L14" i="8"/>
  <c r="P14" i="8"/>
  <c r="O14" i="8"/>
  <c r="G14" i="8"/>
  <c r="C17" i="11"/>
  <c r="E17" i="11"/>
  <c r="F17" i="11"/>
  <c r="G17" i="11" s="1"/>
  <c r="T14" i="8"/>
  <c r="U14" i="8"/>
  <c r="Y14" i="8"/>
  <c r="AA14" i="8"/>
  <c r="AC14" i="8"/>
  <c r="V14" i="8"/>
  <c r="W14" i="8"/>
  <c r="Z14" i="8"/>
  <c r="S14" i="8"/>
  <c r="AD14" i="8"/>
  <c r="X14" i="8"/>
  <c r="AB14" i="8"/>
  <c r="F13" i="6"/>
  <c r="M19" i="8"/>
  <c r="L19" i="8"/>
  <c r="R19" i="8"/>
  <c r="H19" i="8"/>
  <c r="I19" i="8"/>
  <c r="J19" i="8"/>
  <c r="K19" i="8"/>
  <c r="N19" i="8"/>
  <c r="P19" i="8"/>
  <c r="Q19" i="8"/>
  <c r="G19" i="8"/>
  <c r="O19" i="8"/>
  <c r="AE11" i="8"/>
  <c r="AL11" i="8"/>
  <c r="AM11" i="8"/>
  <c r="AF11" i="8"/>
  <c r="AN11" i="8"/>
  <c r="AG11" i="8"/>
  <c r="AO11" i="8"/>
  <c r="AJ11" i="8"/>
  <c r="AK11" i="8"/>
  <c r="AH11" i="8"/>
  <c r="AP11" i="8"/>
  <c r="AI11" i="8"/>
  <c r="AH14" i="8"/>
  <c r="AP14" i="8"/>
  <c r="AI14" i="8"/>
  <c r="AE14" i="8"/>
  <c r="AJ14" i="8"/>
  <c r="AK14" i="8"/>
  <c r="AL14" i="8"/>
  <c r="AM14" i="8"/>
  <c r="AN14" i="8"/>
  <c r="AO14" i="8"/>
  <c r="AG14" i="8"/>
  <c r="AF14" i="8"/>
  <c r="AX84" i="9"/>
  <c r="J84" i="9"/>
  <c r="E5" i="8" s="1"/>
  <c r="AB84" i="9"/>
  <c r="AK84" i="9"/>
  <c r="BB84" i="9"/>
  <c r="BC84" i="9"/>
  <c r="Y84" i="9"/>
  <c r="Z84" i="9"/>
  <c r="BD84" i="9"/>
  <c r="H84" i="9"/>
  <c r="AF84" i="9"/>
  <c r="O84" i="9"/>
  <c r="J5" i="8" s="1"/>
  <c r="AG84" i="9"/>
  <c r="R84" i="9"/>
  <c r="M5" i="8" s="1"/>
  <c r="AJ84" i="9"/>
  <c r="AS84" i="9"/>
  <c r="V84" i="9"/>
  <c r="Q5" i="8" s="1"/>
  <c r="P84" i="9"/>
  <c r="K5" i="8" s="1"/>
  <c r="AU84" i="9"/>
  <c r="W84" i="9"/>
  <c r="R5" i="8" s="1"/>
  <c r="Q84" i="9"/>
  <c r="L5" i="8" s="1"/>
  <c r="AO84" i="9"/>
  <c r="X84" i="9"/>
  <c r="AT84" i="9"/>
  <c r="AA84" i="9"/>
  <c r="AR84" i="9"/>
  <c r="BA84" i="9"/>
  <c r="N84" i="9"/>
  <c r="I5" i="8" s="1"/>
  <c r="AN84" i="9"/>
  <c r="AV84" i="9"/>
  <c r="AM84" i="9"/>
  <c r="I84" i="9"/>
  <c r="D5" i="8" s="1"/>
  <c r="AP84" i="9"/>
  <c r="AI84" i="9"/>
  <c r="AZ84" i="9"/>
  <c r="M84" i="9"/>
  <c r="H5" i="8" s="1"/>
  <c r="AD84" i="9"/>
  <c r="AL84" i="9"/>
  <c r="AC84" i="9"/>
  <c r="AW84" i="9"/>
  <c r="AQ84" i="9"/>
  <c r="U84" i="9"/>
  <c r="P5" i="8" s="1"/>
  <c r="AE84" i="9"/>
  <c r="L84" i="9"/>
  <c r="G5" i="8" s="1"/>
  <c r="T84" i="9"/>
  <c r="O5" i="8" s="1"/>
  <c r="AH84" i="9"/>
  <c r="AY84" i="9"/>
  <c r="K84" i="9"/>
  <c r="F5" i="8" s="1"/>
  <c r="S84" i="9"/>
  <c r="N5" i="8" s="1"/>
  <c r="I6" i="8"/>
  <c r="H6" i="8"/>
  <c r="M6" i="8"/>
  <c r="R6" i="8"/>
  <c r="N6" i="8"/>
  <c r="J6" i="8"/>
  <c r="Q6" i="8"/>
  <c r="L6" i="8"/>
  <c r="O6" i="8"/>
  <c r="P6" i="8"/>
  <c r="S6" i="8"/>
  <c r="K6" i="8"/>
  <c r="N12" i="7"/>
  <c r="F17" i="1" s="1"/>
  <c r="C15" i="7"/>
  <c r="N14" i="7"/>
  <c r="T19" i="8"/>
  <c r="U19" i="8"/>
  <c r="V19" i="8"/>
  <c r="W19" i="8"/>
  <c r="X19" i="8"/>
  <c r="Y19" i="8"/>
  <c r="Z19" i="8"/>
  <c r="AA19" i="8"/>
  <c r="AD19" i="8"/>
  <c r="AB19" i="8"/>
  <c r="S19" i="8"/>
  <c r="AC19" i="8"/>
  <c r="E7" i="6"/>
  <c r="AS14" i="8" l="1"/>
  <c r="BA14" i="8"/>
  <c r="AT14" i="8"/>
  <c r="BB14" i="8"/>
  <c r="AR14" i="8"/>
  <c r="AU14" i="8"/>
  <c r="AQ14" i="8"/>
  <c r="AV14" i="8"/>
  <c r="AW14" i="8"/>
  <c r="AY14" i="8"/>
  <c r="AZ14" i="8"/>
  <c r="AX14" i="8"/>
  <c r="D17" i="11"/>
  <c r="H17" i="11" s="1"/>
  <c r="B18" i="11" s="1"/>
  <c r="C5" i="8"/>
  <c r="F7" i="6"/>
  <c r="AJ8" i="8"/>
  <c r="AF8" i="8"/>
  <c r="AK8" i="8"/>
  <c r="AL8" i="8"/>
  <c r="AM8" i="8"/>
  <c r="AI8" i="8"/>
  <c r="AN8" i="8"/>
  <c r="AH8" i="8"/>
  <c r="AO8" i="8"/>
  <c r="AP8" i="8"/>
  <c r="AQ8" i="8"/>
  <c r="AG8" i="8"/>
  <c r="N13" i="7"/>
  <c r="G17" i="1" s="1"/>
  <c r="N23" i="7"/>
  <c r="G7" i="6" l="1"/>
  <c r="C18" i="11"/>
  <c r="E18" i="11"/>
  <c r="F18" i="11"/>
  <c r="G18" i="11" s="1"/>
  <c r="D18" i="11" l="1"/>
  <c r="H18" i="11" s="1"/>
  <c r="B19" i="11" s="1"/>
  <c r="C19" i="11" l="1"/>
  <c r="E19" i="11"/>
  <c r="F19" i="11"/>
  <c r="G19" i="11" s="1"/>
  <c r="D19" i="11" l="1"/>
  <c r="H19" i="11" s="1"/>
  <c r="B20" i="11" s="1"/>
  <c r="C21" i="8"/>
  <c r="C23" i="8" s="1"/>
  <c r="D4" i="8" s="1"/>
  <c r="C20" i="11" l="1"/>
  <c r="E20" i="11"/>
  <c r="F20" i="11"/>
  <c r="G20" i="11" s="1"/>
  <c r="D20" i="11" l="1"/>
  <c r="H20" i="11" s="1"/>
  <c r="B21" i="11" s="1"/>
  <c r="C21" i="11" l="1"/>
  <c r="E21" i="11"/>
  <c r="F21" i="11"/>
  <c r="G21" i="11" s="1"/>
  <c r="D21" i="8" l="1"/>
  <c r="D23" i="8" s="1"/>
  <c r="E4" i="8" s="1"/>
  <c r="D21" i="11"/>
  <c r="H21" i="11" s="1"/>
  <c r="B22" i="11" s="1"/>
  <c r="E22" i="11" l="1"/>
  <c r="F22" i="11"/>
  <c r="G22" i="11" s="1"/>
  <c r="C22" i="11"/>
  <c r="E21" i="8" l="1"/>
  <c r="E23" i="8" s="1"/>
  <c r="F4" i="8" s="1"/>
  <c r="D22" i="11"/>
  <c r="H22" i="11" s="1"/>
  <c r="B23" i="11" s="1"/>
  <c r="E23" i="11" l="1"/>
  <c r="C23" i="11"/>
  <c r="F23" i="11"/>
  <c r="G23" i="11" s="1"/>
  <c r="D23" i="11" l="1"/>
  <c r="H23" i="11" s="1"/>
  <c r="B24" i="11" s="1"/>
  <c r="F21" i="8"/>
  <c r="F23" i="8" s="1"/>
  <c r="G4" i="8" s="1"/>
  <c r="E24" i="11" l="1"/>
  <c r="C24" i="11"/>
  <c r="F24" i="11"/>
  <c r="G24" i="11" s="1"/>
  <c r="G21" i="8" l="1"/>
  <c r="G23" i="8" s="1"/>
  <c r="H4" i="8" s="1"/>
  <c r="D24" i="11"/>
  <c r="H24" i="11" s="1"/>
  <c r="B25" i="11" s="1"/>
  <c r="C25" i="11" l="1"/>
  <c r="E25" i="11"/>
  <c r="F25" i="11"/>
  <c r="G25" i="11" s="1"/>
  <c r="H21" i="8" l="1"/>
  <c r="H23" i="8" s="1"/>
  <c r="I4" i="8" s="1"/>
  <c r="D25" i="11"/>
  <c r="H25" i="11" s="1"/>
  <c r="B26" i="11" s="1"/>
  <c r="E26" i="11" l="1"/>
  <c r="C26" i="11"/>
  <c r="F26" i="11"/>
  <c r="G26" i="11" s="1"/>
  <c r="D26" i="11" l="1"/>
  <c r="H26" i="11" s="1"/>
  <c r="B27" i="11" s="1"/>
  <c r="I21" i="8"/>
  <c r="I23" i="8" s="1"/>
  <c r="J4" i="8" s="1"/>
  <c r="C27" i="11" l="1"/>
  <c r="E27" i="11"/>
  <c r="F27" i="11"/>
  <c r="G27" i="11" s="1"/>
  <c r="J21" i="8" l="1"/>
  <c r="J23" i="8" s="1"/>
  <c r="K4" i="8" s="1"/>
  <c r="D27" i="11"/>
  <c r="H27" i="11" s="1"/>
  <c r="B28" i="11" s="1"/>
  <c r="C65" i="1"/>
  <c r="C19" i="6" l="1"/>
  <c r="C20" i="6" s="1"/>
  <c r="C67" i="1"/>
  <c r="C28" i="11"/>
  <c r="E28" i="11"/>
  <c r="F28" i="11"/>
  <c r="G28" i="11" s="1"/>
  <c r="K21" i="8" l="1"/>
  <c r="K23" i="8" s="1"/>
  <c r="L4" i="8" s="1"/>
  <c r="D28" i="11"/>
  <c r="H28" i="11" s="1"/>
  <c r="B29" i="11" s="1"/>
  <c r="C71" i="1"/>
  <c r="C72" i="1" s="1"/>
  <c r="C68" i="1"/>
  <c r="C24" i="6"/>
  <c r="C25" i="6" s="1"/>
  <c r="C21" i="6"/>
  <c r="E29" i="11" l="1"/>
  <c r="F29" i="11"/>
  <c r="G29" i="11" s="1"/>
  <c r="C29" i="11"/>
  <c r="L21" i="8" l="1"/>
  <c r="L23" i="8" s="1"/>
  <c r="M4" i="8" s="1"/>
  <c r="D29" i="11"/>
  <c r="H29" i="11" s="1"/>
  <c r="B30" i="11" s="1"/>
  <c r="C30" i="11" l="1"/>
  <c r="E30" i="11"/>
  <c r="F30" i="11"/>
  <c r="G30" i="11" s="1"/>
  <c r="D30" i="11" l="1"/>
  <c r="H30" i="11" s="1"/>
  <c r="B31" i="11" s="1"/>
  <c r="M21" i="8"/>
  <c r="M23" i="8" s="1"/>
  <c r="N4" i="8" s="1"/>
  <c r="C31" i="11" l="1"/>
  <c r="E31" i="11"/>
  <c r="F31" i="11"/>
  <c r="G31" i="11" s="1"/>
  <c r="N21" i="8" l="1"/>
  <c r="N23" i="8" s="1"/>
  <c r="O4" i="8" s="1"/>
  <c r="D31" i="11"/>
  <c r="H31" i="11" s="1"/>
  <c r="B32" i="11" s="1"/>
  <c r="E32" i="11" l="1"/>
  <c r="C32" i="11"/>
  <c r="F32" i="11"/>
  <c r="G32" i="11" s="1"/>
  <c r="D32" i="11" l="1"/>
  <c r="H32" i="11" s="1"/>
  <c r="B33" i="11" s="1"/>
  <c r="O21" i="8"/>
  <c r="O23" i="8" s="1"/>
  <c r="P4" i="8" s="1"/>
  <c r="C33" i="11" l="1"/>
  <c r="F33" i="11"/>
  <c r="G33" i="11" s="1"/>
  <c r="E33" i="11"/>
  <c r="P21" i="8" l="1"/>
  <c r="P23" i="8" s="1"/>
  <c r="Q4" i="8" s="1"/>
  <c r="D33" i="11"/>
  <c r="H33" i="11" s="1"/>
  <c r="B34" i="11" s="1"/>
  <c r="C34" i="11" l="1"/>
  <c r="E34" i="11"/>
  <c r="F34" i="11"/>
  <c r="G34" i="11" s="1"/>
  <c r="D34" i="11" l="1"/>
  <c r="H34" i="11" s="1"/>
  <c r="B35" i="11" s="1"/>
  <c r="Q21" i="8"/>
  <c r="Q23" i="8" s="1"/>
  <c r="R4" i="8" s="1"/>
  <c r="E35" i="11" l="1"/>
  <c r="C35" i="11"/>
  <c r="F35" i="11"/>
  <c r="G35" i="11" s="1"/>
  <c r="D35" i="11" l="1"/>
  <c r="H35" i="11" s="1"/>
  <c r="B36" i="11" s="1"/>
  <c r="R21" i="8"/>
  <c r="R23" i="8" s="1"/>
  <c r="S4" i="8" s="1"/>
  <c r="C36" i="11" l="1"/>
  <c r="E36" i="11"/>
  <c r="F36" i="11"/>
  <c r="G36" i="11" s="1"/>
  <c r="S21" i="8" l="1"/>
  <c r="S23" i="8" s="1"/>
  <c r="T4" i="8" s="1"/>
  <c r="D36" i="11"/>
  <c r="H36" i="11" s="1"/>
  <c r="B37" i="11" s="1"/>
  <c r="E37" i="11" l="1"/>
  <c r="C37" i="11"/>
  <c r="F37" i="11"/>
  <c r="G37" i="11" s="1"/>
  <c r="T21" i="8" l="1"/>
  <c r="T23" i="8" s="1"/>
  <c r="U4" i="8" s="1"/>
  <c r="D37" i="11"/>
  <c r="H37" i="11" s="1"/>
  <c r="B38" i="11" s="1"/>
  <c r="E38" i="11" l="1"/>
  <c r="F38" i="11"/>
  <c r="G38" i="11" s="1"/>
  <c r="C38" i="11"/>
  <c r="D38" i="11" l="1"/>
  <c r="H38" i="11" s="1"/>
  <c r="B39" i="11" s="1"/>
  <c r="U21" i="8"/>
  <c r="U23" i="8" s="1"/>
  <c r="V4" i="8" s="1"/>
  <c r="C39" i="11" l="1"/>
  <c r="E39" i="11"/>
  <c r="F39" i="11"/>
  <c r="G39" i="11" s="1"/>
  <c r="V21" i="8" l="1"/>
  <c r="V23" i="8" s="1"/>
  <c r="W4" i="8" s="1"/>
  <c r="D39" i="11"/>
  <c r="H39" i="11" s="1"/>
  <c r="B40" i="11" s="1"/>
  <c r="D65" i="1"/>
  <c r="D19" i="6" l="1"/>
  <c r="D20" i="6" s="1"/>
  <c r="D67" i="1"/>
  <c r="C40" i="11"/>
  <c r="E40" i="11"/>
  <c r="F40" i="11"/>
  <c r="G40" i="11" s="1"/>
  <c r="W21" i="8" l="1"/>
  <c r="W23" i="8" s="1"/>
  <c r="X4" i="8" s="1"/>
  <c r="D40" i="11"/>
  <c r="H40" i="11" s="1"/>
  <c r="B41" i="11" s="1"/>
  <c r="D68" i="1"/>
  <c r="D71" i="1"/>
  <c r="D72" i="1" s="1"/>
  <c r="D24" i="6"/>
  <c r="D25" i="6" s="1"/>
  <c r="D21" i="6"/>
  <c r="E41" i="11" l="1"/>
  <c r="F41" i="11"/>
  <c r="G41" i="11" s="1"/>
  <c r="C41" i="11"/>
  <c r="X21" i="8" l="1"/>
  <c r="X23" i="8" s="1"/>
  <c r="Y4" i="8" s="1"/>
  <c r="D41" i="11"/>
  <c r="H41" i="11" s="1"/>
  <c r="B42" i="11" s="1"/>
  <c r="C42" i="11" l="1"/>
  <c r="F42" i="11"/>
  <c r="G42" i="11" s="1"/>
  <c r="E42" i="11"/>
  <c r="Y21" i="8" l="1"/>
  <c r="Y23" i="8" s="1"/>
  <c r="Z4" i="8" s="1"/>
  <c r="D42" i="11"/>
  <c r="H42" i="11" s="1"/>
  <c r="B43" i="11" s="1"/>
  <c r="C43" i="11" l="1"/>
  <c r="E43" i="11"/>
  <c r="F43" i="11"/>
  <c r="G43" i="11" s="1"/>
  <c r="Z21" i="8" l="1"/>
  <c r="Z23" i="8" s="1"/>
  <c r="AA4" i="8" s="1"/>
  <c r="D43" i="11"/>
  <c r="H43" i="11" s="1"/>
  <c r="B44" i="11" s="1"/>
  <c r="E44" i="11" l="1"/>
  <c r="C44" i="11"/>
  <c r="F44" i="11"/>
  <c r="G44" i="11" s="1"/>
  <c r="AA21" i="8" l="1"/>
  <c r="AA23" i="8" s="1"/>
  <c r="AB4" i="8" s="1"/>
  <c r="D44" i="11"/>
  <c r="H44" i="11" s="1"/>
  <c r="B45" i="11" s="1"/>
  <c r="E45" i="11" l="1"/>
  <c r="F45" i="11"/>
  <c r="G45" i="11" s="1"/>
  <c r="C45" i="11"/>
  <c r="AB21" i="8" l="1"/>
  <c r="AB23" i="8" s="1"/>
  <c r="AC4" i="8" s="1"/>
  <c r="D45" i="11"/>
  <c r="H45" i="11" s="1"/>
  <c r="B46" i="11" s="1"/>
  <c r="C46" i="11" l="1"/>
  <c r="F46" i="11"/>
  <c r="G46" i="11" s="1"/>
  <c r="E46" i="11"/>
  <c r="AC21" i="8" l="1"/>
  <c r="AC23" i="8" s="1"/>
  <c r="AD4" i="8" s="1"/>
  <c r="D46" i="11"/>
  <c r="H46" i="11" s="1"/>
  <c r="B47" i="11" s="1"/>
  <c r="C47" i="11" l="1"/>
  <c r="E47" i="11"/>
  <c r="F47" i="11"/>
  <c r="G47" i="11" s="1"/>
  <c r="AD21" i="8" l="1"/>
  <c r="AD23" i="8" s="1"/>
  <c r="AE4" i="8" s="1"/>
  <c r="D47" i="11"/>
  <c r="H47" i="11" s="1"/>
  <c r="B48" i="11" s="1"/>
  <c r="C48" i="11" l="1"/>
  <c r="E48" i="11"/>
  <c r="F48" i="11"/>
  <c r="G48" i="11" s="1"/>
  <c r="AE21" i="8" l="1"/>
  <c r="AE23" i="8" s="1"/>
  <c r="AF4" i="8" s="1"/>
  <c r="D48" i="11"/>
  <c r="H48" i="11" s="1"/>
  <c r="B49" i="11" s="1"/>
  <c r="C49" i="11" l="1"/>
  <c r="E49" i="11"/>
  <c r="F49" i="11"/>
  <c r="G49" i="11" s="1"/>
  <c r="AF21" i="8" l="1"/>
  <c r="AF23" i="8" s="1"/>
  <c r="AG4" i="8" s="1"/>
  <c r="D49" i="11"/>
  <c r="H49" i="11" s="1"/>
  <c r="B50" i="11" s="1"/>
  <c r="E50" i="11" l="1"/>
  <c r="C50" i="11"/>
  <c r="F50" i="11"/>
  <c r="G50" i="11" s="1"/>
  <c r="D50" i="11" l="1"/>
  <c r="H50" i="11" s="1"/>
  <c r="B51" i="11" s="1"/>
  <c r="AG21" i="8"/>
  <c r="AG23" i="8" s="1"/>
  <c r="AH4" i="8" s="1"/>
  <c r="C51" i="11" l="1"/>
  <c r="E51" i="11"/>
  <c r="F51" i="11"/>
  <c r="G51" i="11" s="1"/>
  <c r="AH21" i="8" l="1"/>
  <c r="AH23" i="8" s="1"/>
  <c r="AI4" i="8" s="1"/>
  <c r="AI23" i="8" s="1"/>
  <c r="AJ4" i="8" s="1"/>
  <c r="AJ23" i="8" s="1"/>
  <c r="AK4" i="8" s="1"/>
  <c r="AK23" i="8" s="1"/>
  <c r="AL4" i="8" s="1"/>
  <c r="AL23" i="8" s="1"/>
  <c r="AM4" i="8" s="1"/>
  <c r="AM23" i="8" s="1"/>
  <c r="AN4" i="8" s="1"/>
  <c r="AN23" i="8" s="1"/>
  <c r="AO4" i="8" s="1"/>
  <c r="AO23" i="8" s="1"/>
  <c r="AP4" i="8" s="1"/>
  <c r="AP23" i="8" s="1"/>
  <c r="AQ4" i="8" s="1"/>
  <c r="AQ23" i="8" s="1"/>
  <c r="AR4" i="8" s="1"/>
  <c r="AR23" i="8" s="1"/>
  <c r="AS4" i="8" s="1"/>
  <c r="AS23" i="8" s="1"/>
  <c r="AT4" i="8" s="1"/>
  <c r="D51" i="11"/>
  <c r="H51" i="11" s="1"/>
  <c r="B52" i="11" s="1"/>
  <c r="E65" i="1"/>
  <c r="AT23" i="8" l="1"/>
  <c r="AU4" i="8" s="1"/>
  <c r="AU23" i="8" s="1"/>
  <c r="AV4" i="8" s="1"/>
  <c r="AV23" i="8" s="1"/>
  <c r="AW4" i="8" s="1"/>
  <c r="AW23" i="8" s="1"/>
  <c r="AX4" i="8" s="1"/>
  <c r="AX23" i="8" s="1"/>
  <c r="AY4" i="8" s="1"/>
  <c r="AY23" i="8" s="1"/>
  <c r="AZ4" i="8" s="1"/>
  <c r="AZ23" i="8" s="1"/>
  <c r="BA4" i="8" s="1"/>
  <c r="BA23" i="8" s="1"/>
  <c r="BB4" i="8" s="1"/>
  <c r="BB23" i="8" s="1"/>
  <c r="BC4" i="8" s="1"/>
  <c r="BC23" i="8" s="1"/>
  <c r="BD4" i="8" s="1"/>
  <c r="BD23" i="8" s="1"/>
  <c r="BE4" i="8" s="1"/>
  <c r="BE23" i="8" s="1"/>
  <c r="BF4" i="8" s="1"/>
  <c r="BF23" i="8" s="1"/>
  <c r="BG4" i="8" s="1"/>
  <c r="BG23" i="8" s="1"/>
  <c r="BH4" i="8" s="1"/>
  <c r="BH23" i="8" s="1"/>
  <c r="BI4" i="8" s="1"/>
  <c r="BI23" i="8" s="1"/>
  <c r="BJ4" i="8" s="1"/>
  <c r="BJ23" i="8" s="1"/>
  <c r="BK4" i="8" s="1"/>
  <c r="BK23" i="8" s="1"/>
  <c r="BL4" i="8" s="1"/>
  <c r="BL23" i="8" s="1"/>
  <c r="BM4" i="8" s="1"/>
  <c r="BM23" i="8" s="1"/>
  <c r="BN4" i="8" s="1"/>
  <c r="BN23" i="8" s="1"/>
  <c r="BO4" i="8" s="1"/>
  <c r="BO23" i="8" s="1"/>
  <c r="E19" i="6"/>
  <c r="E20" i="6" s="1"/>
  <c r="E67" i="1"/>
  <c r="C52" i="11"/>
  <c r="E52" i="11"/>
  <c r="F52" i="11"/>
  <c r="G52" i="11" s="1"/>
  <c r="D52" i="11" l="1"/>
  <c r="H52" i="11" s="1"/>
  <c r="B53" i="11" s="1"/>
  <c r="E71" i="1"/>
  <c r="E72" i="1" s="1"/>
  <c r="E68" i="1"/>
  <c r="E24" i="6"/>
  <c r="E25" i="6" s="1"/>
  <c r="E21" i="6"/>
  <c r="E53" i="11" l="1"/>
  <c r="F53" i="11"/>
  <c r="G53" i="11" s="1"/>
  <c r="C53" i="11"/>
  <c r="D53" i="11" l="1"/>
  <c r="H53" i="11" s="1"/>
  <c r="B54" i="11" s="1"/>
  <c r="C54" i="11" l="1"/>
  <c r="E54" i="11"/>
  <c r="F54" i="11"/>
  <c r="G54" i="11" s="1"/>
  <c r="D54" i="11" l="1"/>
  <c r="H54" i="11" s="1"/>
  <c r="B55" i="11" s="1"/>
  <c r="C55" i="11" l="1"/>
  <c r="E55" i="11"/>
  <c r="F55" i="11"/>
  <c r="G55" i="11" s="1"/>
  <c r="D55" i="11" l="1"/>
  <c r="H55" i="11" s="1"/>
  <c r="B56" i="11" s="1"/>
  <c r="F56" i="11" l="1"/>
  <c r="G56" i="11" s="1"/>
  <c r="E56" i="11"/>
  <c r="C56" i="11"/>
  <c r="D56" i="11" l="1"/>
  <c r="H56" i="11" s="1"/>
  <c r="B57" i="11" s="1"/>
  <c r="C57" i="11" l="1"/>
  <c r="E57" i="11"/>
  <c r="F57" i="11"/>
  <c r="G57" i="11" s="1"/>
  <c r="D57" i="11" l="1"/>
  <c r="H57" i="11" s="1"/>
  <c r="B58" i="11" s="1"/>
  <c r="E58" i="11" l="1"/>
  <c r="F58" i="11"/>
  <c r="G58" i="11" s="1"/>
  <c r="C58" i="11"/>
  <c r="D58" i="11" s="1"/>
  <c r="H58" i="11" s="1"/>
  <c r="B59" i="11" s="1"/>
  <c r="C59" i="11" l="1"/>
  <c r="F59" i="11"/>
  <c r="G59" i="11" s="1"/>
  <c r="E59" i="11"/>
  <c r="D59" i="11" l="1"/>
  <c r="H59" i="11" s="1"/>
  <c r="B60" i="11" s="1"/>
  <c r="C60" i="11" l="1"/>
  <c r="E60" i="11"/>
  <c r="F60" i="11"/>
  <c r="G60" i="11" s="1"/>
  <c r="D60" i="11" l="1"/>
  <c r="H60" i="11" s="1"/>
  <c r="B61" i="11" s="1"/>
  <c r="C61" i="11" l="1"/>
  <c r="F61" i="11"/>
  <c r="G61" i="11" s="1"/>
  <c r="E61" i="11"/>
  <c r="D61" i="11" l="1"/>
  <c r="H61" i="11" s="1"/>
  <c r="B62" i="11" s="1"/>
  <c r="C62" i="11" l="1"/>
  <c r="F62" i="11"/>
  <c r="G62" i="11" s="1"/>
  <c r="E62" i="11"/>
  <c r="D62" i="11" l="1"/>
  <c r="H62" i="11" s="1"/>
  <c r="B63" i="11" s="1"/>
  <c r="C63" i="11" l="1"/>
  <c r="E63" i="11"/>
  <c r="F63" i="11"/>
  <c r="G63" i="11" s="1"/>
  <c r="D63" i="11" l="1"/>
  <c r="H63" i="11" s="1"/>
  <c r="B64" i="11" s="1"/>
  <c r="F65" i="1"/>
  <c r="F19" i="6" l="1"/>
  <c r="F20" i="6" s="1"/>
  <c r="F67" i="1"/>
  <c r="F64" i="11"/>
  <c r="G64" i="11" s="1"/>
  <c r="C64" i="11"/>
  <c r="E64" i="11"/>
  <c r="D64" i="11" l="1"/>
  <c r="H64" i="11" s="1"/>
  <c r="B65" i="11" s="1"/>
  <c r="F68" i="1"/>
  <c r="F71" i="1"/>
  <c r="F72" i="1" s="1"/>
  <c r="F24" i="6"/>
  <c r="F25" i="6" s="1"/>
  <c r="F21" i="6"/>
  <c r="C65" i="11" l="1"/>
  <c r="F65" i="11"/>
  <c r="G65" i="11" s="1"/>
  <c r="E65" i="11"/>
  <c r="D65" i="11" l="1"/>
  <c r="H65" i="11" s="1"/>
  <c r="B66" i="11" s="1"/>
  <c r="C66" i="11" l="1"/>
  <c r="E66" i="11"/>
  <c r="F66" i="11"/>
  <c r="G66" i="11" s="1"/>
  <c r="D66" i="11" l="1"/>
  <c r="H66" i="11" s="1"/>
  <c r="B67" i="11" s="1"/>
  <c r="C67" i="11" l="1"/>
  <c r="F67" i="11"/>
  <c r="G67" i="11" s="1"/>
  <c r="E67" i="11"/>
  <c r="D67" i="11" l="1"/>
  <c r="H67" i="11" s="1"/>
  <c r="B68" i="11" s="1"/>
  <c r="C68" i="11" l="1"/>
  <c r="E68" i="11"/>
  <c r="F68" i="11"/>
  <c r="G68" i="11" s="1"/>
  <c r="D68" i="11" l="1"/>
  <c r="H68" i="11" s="1"/>
  <c r="B69" i="11" s="1"/>
  <c r="E69" i="11" l="1"/>
  <c r="F69" i="11"/>
  <c r="G69" i="11" s="1"/>
  <c r="C69" i="11"/>
  <c r="D69" i="11" s="1"/>
  <c r="H69" i="11" s="1"/>
  <c r="B70" i="11" s="1"/>
  <c r="F70" i="11" l="1"/>
  <c r="G70" i="11" s="1"/>
  <c r="C70" i="11"/>
  <c r="E70" i="11"/>
  <c r="D70" i="11" l="1"/>
  <c r="H70" i="11" s="1"/>
  <c r="B71" i="11" s="1"/>
  <c r="C71" i="11" l="1"/>
  <c r="E71" i="11"/>
  <c r="F71" i="11"/>
  <c r="G71" i="11" s="1"/>
  <c r="D71" i="11" l="1"/>
  <c r="H71" i="11" s="1"/>
  <c r="B72" i="11" s="1"/>
  <c r="C72" i="11" l="1"/>
  <c r="E72" i="11"/>
  <c r="F72" i="11"/>
  <c r="G72" i="11" s="1"/>
  <c r="D72" i="11" l="1"/>
  <c r="H72" i="11" s="1"/>
  <c r="B73" i="11" s="1"/>
  <c r="C73" i="11" l="1"/>
  <c r="F73" i="11"/>
  <c r="G73" i="11" s="1"/>
  <c r="E73" i="11"/>
  <c r="D73" i="11" l="1"/>
  <c r="H73" i="11" s="1"/>
  <c r="B74" i="11" s="1"/>
  <c r="C74" i="11" l="1"/>
  <c r="E74" i="11"/>
  <c r="F74" i="11"/>
  <c r="G74" i="11" s="1"/>
  <c r="D74" i="11" l="1"/>
  <c r="H74" i="11" s="1"/>
  <c r="B75" i="11" s="1"/>
  <c r="C75" i="11" l="1"/>
  <c r="E75" i="11"/>
  <c r="F75" i="11"/>
  <c r="G75" i="11" s="1"/>
  <c r="D75" i="11" l="1"/>
  <c r="H75" i="11" s="1"/>
  <c r="B76" i="11" s="1"/>
  <c r="C76" i="11" l="1"/>
  <c r="E76" i="11"/>
  <c r="F76" i="11"/>
  <c r="G76" i="11" s="1"/>
  <c r="D76" i="11" l="1"/>
  <c r="H76" i="11" s="1"/>
  <c r="B77" i="11" s="1"/>
  <c r="G65" i="1"/>
  <c r="G19" i="6" l="1"/>
  <c r="G20" i="6" s="1"/>
  <c r="G67" i="1"/>
  <c r="C77" i="11"/>
  <c r="E77" i="11"/>
  <c r="F77" i="11"/>
  <c r="G77" i="11" s="1"/>
  <c r="D77" i="11" l="1"/>
  <c r="H77" i="11" s="1"/>
  <c r="B78" i="11" s="1"/>
  <c r="G71" i="1"/>
  <c r="G72" i="1" s="1"/>
  <c r="G68" i="1"/>
  <c r="G24" i="6"/>
  <c r="G25" i="6" s="1"/>
  <c r="G21" i="6"/>
  <c r="F78" i="11" l="1"/>
  <c r="G78" i="11" s="1"/>
  <c r="E78" i="11"/>
  <c r="C78" i="11"/>
  <c r="D78" i="11" s="1"/>
  <c r="H78" i="11" s="1"/>
  <c r="B79" i="11" s="1"/>
  <c r="C79" i="11" l="1"/>
  <c r="E79" i="11"/>
  <c r="F79" i="11"/>
  <c r="G79" i="11" s="1"/>
  <c r="D79" i="11" l="1"/>
  <c r="H79" i="11" s="1"/>
  <c r="B80" i="11" s="1"/>
  <c r="C80" i="11" l="1"/>
  <c r="E80" i="11"/>
  <c r="F80" i="11"/>
  <c r="G80" i="11" s="1"/>
  <c r="D80" i="11" l="1"/>
  <c r="H80" i="11" s="1"/>
  <c r="B81" i="11" s="1"/>
  <c r="F81" i="11" l="1"/>
  <c r="G81" i="11" s="1"/>
  <c r="C81" i="11"/>
  <c r="E81" i="11"/>
  <c r="D81" i="11" l="1"/>
  <c r="H81" i="11" s="1"/>
  <c r="B82" i="11" s="1"/>
  <c r="F82" i="11" l="1"/>
  <c r="G82" i="11" s="1"/>
  <c r="C82" i="11"/>
  <c r="E82" i="11"/>
  <c r="D82" i="11" l="1"/>
  <c r="H82" i="11" s="1"/>
  <c r="B83" i="11" s="1"/>
  <c r="E83" i="11" l="1"/>
  <c r="C83" i="11"/>
  <c r="D83" i="11" s="1"/>
  <c r="H83" i="11" s="1"/>
  <c r="B84" i="11" s="1"/>
  <c r="F83" i="11"/>
  <c r="G83" i="11" s="1"/>
  <c r="F84" i="11" l="1"/>
  <c r="G84" i="11" s="1"/>
  <c r="C84" i="11"/>
  <c r="E84" i="11"/>
  <c r="D84" i="11" l="1"/>
  <c r="H84" i="11" s="1"/>
  <c r="B85" i="11" s="1"/>
  <c r="C85" i="11" l="1"/>
  <c r="E85" i="11"/>
  <c r="F85" i="11"/>
  <c r="G85" i="11" s="1"/>
  <c r="D85" i="11" l="1"/>
  <c r="H85" i="11" s="1"/>
  <c r="B86" i="11" s="1"/>
  <c r="F86" i="11" l="1"/>
  <c r="G86" i="11" s="1"/>
  <c r="C86" i="11"/>
  <c r="E86" i="11"/>
  <c r="D86" i="11" l="1"/>
  <c r="H86" i="11" s="1"/>
  <c r="B87" i="11" s="1"/>
  <c r="C87" i="11" l="1"/>
  <c r="E87" i="11"/>
  <c r="F87" i="11"/>
  <c r="G87" i="11" s="1"/>
  <c r="D87" i="11" l="1"/>
  <c r="H8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5" authorId="0" shapeId="0" xr:uid="{00000000-0006-0000-0400-000002000000}">
      <text>
        <r>
          <rPr>
            <b/>
            <sz val="10"/>
            <color rgb="FF000000"/>
            <rFont val="Calibri"/>
            <family val="2"/>
          </rPr>
          <t>Author:</t>
        </r>
        <r>
          <rPr>
            <sz val="10"/>
            <color rgb="FF000000"/>
            <rFont val="Calibri"/>
            <family val="2"/>
          </rPr>
          <t xml:space="preserve">
</t>
        </r>
        <r>
          <rPr>
            <sz val="10"/>
            <color rgb="FF000000"/>
            <rFont val="Calibri"/>
            <family val="2"/>
          </rPr>
          <t>Bore</t>
        </r>
      </text>
    </comment>
    <comment ref="Y5" authorId="0" shapeId="0" xr:uid="{00000000-0006-0000-0400-000003000000}">
      <text>
        <r>
          <rPr>
            <b/>
            <sz val="9"/>
            <color rgb="FF000000"/>
            <rFont val="Tahoma"/>
            <family val="2"/>
          </rPr>
          <t>Author:</t>
        </r>
        <r>
          <rPr>
            <sz val="9"/>
            <color rgb="FF000000"/>
            <rFont val="Tahoma"/>
            <family val="2"/>
          </rPr>
          <t xml:space="preserve">
</t>
        </r>
        <r>
          <rPr>
            <sz val="9"/>
            <color rgb="FF000000"/>
            <rFont val="Tahoma"/>
            <family val="2"/>
          </rPr>
          <t xml:space="preserve">own payment for packaging line </t>
        </r>
      </text>
    </comment>
    <comment ref="C20" authorId="0" shapeId="0" xr:uid="{00000000-0006-0000-0400-000005000000}">
      <text>
        <r>
          <rPr>
            <b/>
            <sz val="10"/>
            <color rgb="FF000000"/>
            <rFont val="Calibri"/>
            <family val="2"/>
          </rPr>
          <t>Author:</t>
        </r>
        <r>
          <rPr>
            <sz val="10"/>
            <color rgb="FF000000"/>
            <rFont val="Calibri"/>
            <family val="2"/>
          </rPr>
          <t xml:space="preserve">
</t>
        </r>
        <r>
          <rPr>
            <sz val="10"/>
            <color rgb="FF000000"/>
            <rFont val="Calibri"/>
            <family val="2"/>
          </rPr>
          <t xml:space="preserve">Lawyers, TMs, T-shirts etc paid back when business can affford to (ibnterest free loan) 
</t>
        </r>
        <r>
          <rPr>
            <sz val="10"/>
            <color rgb="FF000000"/>
            <rFont val="Calibri"/>
            <family val="2"/>
          </rPr>
          <t xml:space="preserve">Trenching, water laying whilst </t>
        </r>
      </text>
    </comment>
    <comment ref="R33" authorId="0" shapeId="0" xr:uid="{00000000-0006-0000-0400-000006000000}">
      <text>
        <r>
          <rPr>
            <b/>
            <sz val="9"/>
            <color indexed="81"/>
            <rFont val="Tahoma"/>
            <family val="2"/>
          </rPr>
          <t>Author:</t>
        </r>
        <r>
          <rPr>
            <sz val="9"/>
            <color indexed="81"/>
            <rFont val="Tahoma"/>
            <family val="2"/>
          </rPr>
          <t xml:space="preserve">
Will have Raw Materials in stock at year end so &gt;100% 
But includes rent etc month in advacnce</t>
        </r>
      </text>
    </comment>
    <comment ref="AP33" authorId="0" shapeId="0" xr:uid="{00000000-0006-0000-0400-000007000000}">
      <text>
        <r>
          <rPr>
            <b/>
            <sz val="10"/>
            <color indexed="81"/>
            <rFont val="Calibri"/>
            <family val="2"/>
          </rPr>
          <t>Author:</t>
        </r>
        <r>
          <rPr>
            <sz val="10"/>
            <color indexed="81"/>
            <rFont val="Calibri"/>
            <family val="2"/>
          </rPr>
          <t xml:space="preserve">
Become big enough to have 3 month terms (3 months of year) </t>
        </r>
      </text>
    </comment>
    <comment ref="BB33" authorId="0" shapeId="0" xr:uid="{737EDB9E-CBD4-C14A-B82E-9206775B676F}">
      <text>
        <r>
          <rPr>
            <b/>
            <sz val="10"/>
            <color rgb="FF000000"/>
            <rFont val="Calibri"/>
            <family val="2"/>
          </rPr>
          <t>Author:</t>
        </r>
        <r>
          <rPr>
            <sz val="10"/>
            <color rgb="FF000000"/>
            <rFont val="Calibri"/>
            <family val="2"/>
          </rPr>
          <t xml:space="preserve">
</t>
        </r>
        <r>
          <rPr>
            <sz val="10"/>
            <color rgb="FF000000"/>
            <rFont val="Calibri"/>
            <family val="2"/>
          </rPr>
          <t xml:space="preserve">Become big enough to have 3 month terms (3 months of year) </t>
        </r>
      </text>
    </comment>
    <comment ref="BN33" authorId="0" shapeId="0" xr:uid="{26672BDD-9ACB-2A4E-A5AF-6454DB1EEBCF}">
      <text>
        <r>
          <rPr>
            <b/>
            <sz val="10"/>
            <color indexed="81"/>
            <rFont val="Calibri"/>
            <family val="2"/>
          </rPr>
          <t>Author:</t>
        </r>
        <r>
          <rPr>
            <sz val="10"/>
            <color indexed="81"/>
            <rFont val="Calibri"/>
            <family val="2"/>
          </rPr>
          <t xml:space="preserve">
Become big enough to have 3 month terms (3 months of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2" authorId="0" shapeId="0" xr:uid="{EF29097B-10C4-934B-8681-8EDB8CA05796}">
      <text>
        <r>
          <rPr>
            <b/>
            <sz val="10"/>
            <color rgb="FF000000"/>
            <rFont val="Tahoma"/>
            <family val="2"/>
          </rPr>
          <t>Author:</t>
        </r>
        <r>
          <rPr>
            <sz val="10"/>
            <color rgb="FF000000"/>
            <rFont val="Tahoma"/>
            <family val="2"/>
          </rPr>
          <t xml:space="preserve">
</t>
        </r>
        <r>
          <rPr>
            <sz val="10"/>
            <color rgb="FF000000"/>
            <rFont val="Tahoma"/>
            <family val="2"/>
          </rPr>
          <t xml:space="preserve">include 1 as a BBT </t>
        </r>
      </text>
    </comment>
    <comment ref="D60" authorId="0" shapeId="0" xr:uid="{4C5E962B-262A-154A-9C4C-9C860A4EDE27}">
      <text>
        <r>
          <rPr>
            <b/>
            <sz val="10"/>
            <color rgb="FF000000"/>
            <rFont val="Tahoma"/>
            <family val="2"/>
          </rPr>
          <t>Author:</t>
        </r>
        <r>
          <rPr>
            <sz val="10"/>
            <color rgb="FF000000"/>
            <rFont val="Tahoma"/>
            <family val="2"/>
          </rPr>
          <t xml:space="preserve">
include £20k for grain handling 
</t>
        </r>
      </text>
    </comment>
    <comment ref="D62" authorId="0" shapeId="0" xr:uid="{DA86BD59-4223-5D43-866C-B35E75C68D5F}">
      <text>
        <r>
          <rPr>
            <b/>
            <sz val="10"/>
            <color rgb="FF000000"/>
            <rFont val="Tahoma"/>
            <family val="2"/>
          </rPr>
          <t>Author:</t>
        </r>
        <r>
          <rPr>
            <sz val="10"/>
            <color rgb="FF000000"/>
            <rFont val="Tahoma"/>
            <family val="2"/>
          </rPr>
          <t xml:space="preserve">
Include £25K for a new 50 kw Chiller in tandum remainder for kegs and casks </t>
        </r>
      </text>
    </comment>
    <comment ref="D64" authorId="0" shapeId="0" xr:uid="{5F4A98D4-F7F7-4F4D-9E6C-912D15020876}">
      <text>
        <r>
          <rPr>
            <sz val="10"/>
            <color rgb="FF000000"/>
            <rFont val="Tahoma"/>
            <family val="2"/>
          </rPr>
          <t xml:space="preserve">Author:
</t>
        </r>
        <r>
          <rPr>
            <sz val="10"/>
            <color rgb="FF000000"/>
            <rFont val="Tahoma"/>
            <family val="2"/>
          </rPr>
          <t xml:space="preserve">include £60k for an extra steam boiler to manage steam load remainder on kegs and cask </t>
        </r>
      </text>
    </comment>
    <comment ref="D69" authorId="0" shapeId="0" xr:uid="{00000000-0006-0000-0000-000001000000}">
      <text>
        <r>
          <rPr>
            <b/>
            <sz val="9"/>
            <color indexed="81"/>
            <rFont val="Tahoma"/>
            <family val="2"/>
          </rPr>
          <t>Author:</t>
        </r>
        <r>
          <rPr>
            <sz val="9"/>
            <color indexed="81"/>
            <rFont val="Tahoma"/>
            <family val="2"/>
          </rPr>
          <t xml:space="preserve">
We can rent to buy these and spread the cost over the first year </t>
        </r>
      </text>
    </comment>
    <comment ref="B71" authorId="0" shapeId="0" xr:uid="{00000000-0006-0000-0000-000002000000}">
      <text>
        <r>
          <rPr>
            <b/>
            <sz val="9"/>
            <color rgb="FF000000"/>
            <rFont val="Tahoma"/>
            <family val="2"/>
          </rPr>
          <t>Author:</t>
        </r>
        <r>
          <rPr>
            <sz val="9"/>
            <color rgb="FF000000"/>
            <rFont val="Tahoma"/>
            <family val="2"/>
          </rPr>
          <t xml:space="preserve">
</t>
        </r>
        <r>
          <rPr>
            <sz val="9"/>
            <color rgb="FF000000"/>
            <rFont val="Tahoma"/>
            <family val="2"/>
          </rPr>
          <t xml:space="preserve">Can rentalise this - willl ensure servicing is done </t>
        </r>
      </text>
    </comment>
    <comment ref="B72" authorId="0" shapeId="0" xr:uid="{00000000-0006-0000-0000-000003000000}">
      <text>
        <r>
          <rPr>
            <b/>
            <sz val="9"/>
            <color rgb="FF000000"/>
            <rFont val="Tahoma"/>
            <family val="2"/>
          </rPr>
          <t>Author:</t>
        </r>
        <r>
          <rPr>
            <sz val="9"/>
            <color rgb="FF000000"/>
            <rFont val="Tahoma"/>
            <family val="2"/>
          </rPr>
          <t xml:space="preserve">
</t>
        </r>
        <r>
          <rPr>
            <sz val="9"/>
            <color rgb="FF000000"/>
            <rFont val="Tahoma"/>
            <family val="2"/>
          </rPr>
          <t xml:space="preserve">NB - car for sales rep could be leased therefore OPEX </t>
        </r>
      </text>
    </comment>
    <comment ref="G81" authorId="0" shapeId="0" xr:uid="{00000000-0006-0000-0000-000004000000}">
      <text>
        <r>
          <rPr>
            <b/>
            <sz val="9"/>
            <color rgb="FF000000"/>
            <rFont val="Tahoma"/>
            <family val="2"/>
          </rPr>
          <t xml:space="preserve">Author:
</t>
        </r>
      </text>
    </comment>
  </commentList>
</comments>
</file>

<file path=xl/sharedStrings.xml><?xml version="1.0" encoding="utf-8"?>
<sst xmlns="http://schemas.openxmlformats.org/spreadsheetml/2006/main" count="474" uniqueCount="359">
  <si>
    <t xml:space="preserve">Revenue  </t>
  </si>
  <si>
    <t xml:space="preserve">Marketing </t>
  </si>
  <si>
    <t xml:space="preserve">Alcohol Duty </t>
  </si>
  <si>
    <t xml:space="preserve">EBITDA </t>
  </si>
  <si>
    <t xml:space="preserve">Manufacturing Overheads </t>
  </si>
  <si>
    <t xml:space="preserve">Lawyers fees </t>
  </si>
  <si>
    <t xml:space="preserve">EBITDA % </t>
  </si>
  <si>
    <t>Recruitment &amp; Culture (HR)</t>
  </si>
  <si>
    <t xml:space="preserve">Trade memberships </t>
  </si>
  <si>
    <t xml:space="preserve">Travel </t>
  </si>
  <si>
    <t xml:space="preserve">Bonuses </t>
  </si>
  <si>
    <t xml:space="preserve">Capital depreciation </t>
  </si>
  <si>
    <t xml:space="preserve">Volume growth from Previous Yr </t>
  </si>
  <si>
    <t xml:space="preserve">Brews per week </t>
  </si>
  <si>
    <t xml:space="preserve">Rental </t>
  </si>
  <si>
    <t xml:space="preserve">Volume / hL </t>
  </si>
  <si>
    <t xml:space="preserve">Salaries Sales Staff </t>
  </si>
  <si>
    <t xml:space="preserve">Salaries Marketing </t>
  </si>
  <si>
    <t xml:space="preserve">Salaries Distribution </t>
  </si>
  <si>
    <t xml:space="preserve">Salaries Packaging </t>
  </si>
  <si>
    <t xml:space="preserve">Accountants Fees </t>
  </si>
  <si>
    <t xml:space="preserve"> </t>
  </si>
  <si>
    <t xml:space="preserve">YR 1 </t>
  </si>
  <si>
    <t xml:space="preserve">YR 2 </t>
  </si>
  <si>
    <t xml:space="preserve">YR 3 </t>
  </si>
  <si>
    <t xml:space="preserve">YR 4 </t>
  </si>
  <si>
    <t xml:space="preserve">YR 5 </t>
  </si>
  <si>
    <t xml:space="preserve">Distribution (Truck running costs, third party) </t>
  </si>
  <si>
    <t xml:space="preserve">Total Production overheads / Litre check </t>
  </si>
  <si>
    <t xml:space="preserve">Contract Brewing volume / hL </t>
  </si>
  <si>
    <t xml:space="preserve">Manufacturing Overheads Contract Brewing </t>
  </si>
  <si>
    <t xml:space="preserve">Contract Brewing Revenue per litre </t>
  </si>
  <si>
    <t>Contract Brewing total revenue</t>
  </si>
  <si>
    <t xml:space="preserve">Contract Brewing Total Costs </t>
  </si>
  <si>
    <t xml:space="preserve">Contract Brewing Costs per litre </t>
  </si>
  <si>
    <t xml:space="preserve">I.T. Phones etc </t>
  </si>
  <si>
    <t xml:space="preserve">Vehicle Leasing (Sales staff) </t>
  </si>
  <si>
    <t xml:space="preserve">Office Sundry Items </t>
  </si>
  <si>
    <t xml:space="preserve">Insurance, Public Liability </t>
  </si>
  <si>
    <t xml:space="preserve">National Insurance (13.8%) </t>
  </si>
  <si>
    <t>Staff Life Insurance</t>
  </si>
  <si>
    <t xml:space="preserve">Staff Training </t>
  </si>
  <si>
    <t xml:space="preserve">Bad Debts </t>
  </si>
  <si>
    <t xml:space="preserve">Bank Charges </t>
  </si>
  <si>
    <t xml:space="preserve">Sponsorships </t>
  </si>
  <si>
    <t xml:space="preserve">Software / Scada Licensing fees </t>
  </si>
  <si>
    <t xml:space="preserve">Audit Fees </t>
  </si>
  <si>
    <t xml:space="preserve">Vehicle Running Costs (Fleet Companies) </t>
  </si>
  <si>
    <t xml:space="preserve">Contract Brewing and Packaging </t>
  </si>
  <si>
    <t xml:space="preserve">DUTY </t>
  </si>
  <si>
    <t xml:space="preserve">Direct Staff Costs / Salaries </t>
  </si>
  <si>
    <t xml:space="preserve">COGs </t>
  </si>
  <si>
    <t>BRAND</t>
  </si>
  <si>
    <t xml:space="preserve">FMO / Logistics </t>
  </si>
  <si>
    <t xml:space="preserve">Consultants Fees </t>
  </si>
  <si>
    <t xml:space="preserve">Offsite Rental Facility - Distribution </t>
  </si>
  <si>
    <t xml:space="preserve">Number of Full Time Staff (not including Directors) </t>
  </si>
  <si>
    <t>Other Cost of Sales &amp; Admin</t>
  </si>
  <si>
    <t xml:space="preserve">Cost of Goods (COGs) Liquid </t>
  </si>
  <si>
    <t xml:space="preserve">Cost of Good Packaging </t>
  </si>
  <si>
    <t xml:space="preserve">Percent into Keg </t>
  </si>
  <si>
    <t xml:space="preserve">Percent into small pack </t>
  </si>
  <si>
    <t xml:space="preserve">Keg revenue </t>
  </si>
  <si>
    <t xml:space="preserve">Small Pack revenue </t>
  </si>
  <si>
    <t xml:space="preserve">Overtime Peak Production </t>
  </si>
  <si>
    <t xml:space="preserve">Personal development Fund </t>
  </si>
  <si>
    <t xml:space="preserve">Development </t>
  </si>
  <si>
    <t xml:space="preserve">Corporate Compliance and staff incentives </t>
  </si>
  <si>
    <t>EBITA</t>
  </si>
  <si>
    <t xml:space="preserve">EBITA % </t>
  </si>
  <si>
    <t xml:space="preserve">Round Corner Volume in Litres </t>
  </si>
  <si>
    <t xml:space="preserve">Cost of sales - Discounts </t>
  </si>
  <si>
    <t>Salaries Brewery Operators</t>
  </si>
  <si>
    <t xml:space="preserve">Engineering Dept. </t>
  </si>
  <si>
    <t>Total Contract Packaging Gross Profit</t>
  </si>
  <si>
    <t>Xmas Party/ Sales Conference / Culture Development</t>
  </si>
  <si>
    <t xml:space="preserve">Total Volume in litres </t>
  </si>
  <si>
    <t xml:space="preserve">Revenue </t>
  </si>
  <si>
    <t xml:space="preserve">Focus on draught product year 1 </t>
  </si>
  <si>
    <t xml:space="preserve">Allow for 5% overtime costs for Production staff </t>
  </si>
  <si>
    <t xml:space="preserve">Whole business on 10% Bonus / drive growth through KPI management </t>
  </si>
  <si>
    <t xml:space="preserve">We have allowed for 5% rise year on year - ideal but linked to growth and targets </t>
  </si>
  <si>
    <t xml:space="preserve">Allow 10% of RCB revenue to marketing to grow brand (the Marketing salary has been subtracted) </t>
  </si>
  <si>
    <t xml:space="preserve">In addition to 10% Above and focused on local area </t>
  </si>
  <si>
    <t xml:space="preserve">Doing the right thing. 0.5% of revenue from when profitable (year 2 or 3) </t>
  </si>
  <si>
    <t xml:space="preserve">DISCOUNTS </t>
  </si>
  <si>
    <t xml:space="preserve">Fixed Manufacturing Overheads (FMO) / Logistics </t>
  </si>
  <si>
    <t xml:space="preserve">Directors very low salary until profitable and linked to KPI targets </t>
  </si>
  <si>
    <t xml:space="preserve">No directors Bonuses until profitable </t>
  </si>
  <si>
    <t xml:space="preserve">Investment to cover Capital investment and 1 year 9 months of operational expenditure </t>
  </si>
  <si>
    <t xml:space="preserve">This includes any contract brewing volume </t>
  </si>
  <si>
    <t xml:space="preserve">revenue per litre keg </t>
  </si>
  <si>
    <t>Contract Brewing</t>
  </si>
  <si>
    <t xml:space="preserve">Total Contract Revenue </t>
  </si>
  <si>
    <t>Cost of Sales &amp; Admin</t>
  </si>
  <si>
    <t>Pensions (1%, then 3% from 2019)</t>
  </si>
  <si>
    <t xml:space="preserve">Staff Healthcare Scheme </t>
  </si>
  <si>
    <t xml:space="preserve">Wish to include this from yr 2  </t>
  </si>
  <si>
    <t xml:space="preserve">How we will make money </t>
  </si>
  <si>
    <t>2. We will maintain premium price as we penetrate the market by investment in marketing to create direct drinker relationships and feed them via selective distribution with partners who care</t>
  </si>
  <si>
    <t>4. We will hire extremely selectively and in return for looking after our small staff (not just financially but by training and mentoring) we will expect big returns from them.  We will produce some of the finest beer makers and sellers in the country.</t>
  </si>
  <si>
    <t>5. Outside marketing our investment in strong relationships with council, Leicester region, the market, food partners and other regional, national and international breweries will drive our presence in the market.  We intend to positively change the UK brewing market.</t>
  </si>
  <si>
    <t>6. We will create first a regional, then a national and then an international icon.  This won't happen overnight, but will be our focus in everything we do, we are in it for the long haul and are looking for investors who wish to go on this journey with us.</t>
  </si>
  <si>
    <t>Total Salaries &amp; Bonuses</t>
  </si>
  <si>
    <t xml:space="preserve">March 2017 Standard Rate </t>
  </si>
  <si>
    <t xml:space="preserve">Extra </t>
  </si>
  <si>
    <t xml:space="preserve">Low Strength 1.2 - 2.8% ABV </t>
  </si>
  <si>
    <t xml:space="preserve">Beer High Strength (&gt;7.5% ABV) </t>
  </si>
  <si>
    <t xml:space="preserve">Formulae </t>
  </si>
  <si>
    <t xml:space="preserve">0 - 5,000hL Production </t>
  </si>
  <si>
    <t xml:space="preserve">of standard rate </t>
  </si>
  <si>
    <t xml:space="preserve">5,000 - 30,000 hL Production </t>
  </si>
  <si>
    <t xml:space="preserve">GP - 2,500 (hL) x standard rate </t>
  </si>
  <si>
    <t xml:space="preserve">GP </t>
  </si>
  <si>
    <t xml:space="preserve">GP is the estimated production for that year </t>
  </si>
  <si>
    <t>Rate =</t>
  </si>
  <si>
    <t xml:space="preserve">Yr 5 </t>
  </si>
  <si>
    <t xml:space="preserve">RDI </t>
  </si>
  <si>
    <t xml:space="preserve">Year 1 Standard Rate (2018) </t>
  </si>
  <si>
    <t xml:space="preserve">Year 2 Standard Rate (2019) </t>
  </si>
  <si>
    <t xml:space="preserve">Year 3 Standard Rate (2020) </t>
  </si>
  <si>
    <t xml:space="preserve">Year 4 Standard Rate (2021) </t>
  </si>
  <si>
    <t xml:space="preserve">Year 5 Standard Rate (2022) </t>
  </si>
  <si>
    <t xml:space="preserve">30,000 - 60,000 hL Production </t>
  </si>
  <si>
    <t xml:space="preserve">GP - 2,500(hL) - (8.33% of GP in excess of 30,000hL)  x standard rate </t>
  </si>
  <si>
    <t>GP</t>
  </si>
  <si>
    <t xml:space="preserve">Main Brand </t>
  </si>
  <si>
    <t xml:space="preserve">% ABV </t>
  </si>
  <si>
    <t xml:space="preserve">2nd Brand </t>
  </si>
  <si>
    <t xml:space="preserve">3rd Brand </t>
  </si>
  <si>
    <t xml:space="preserve">IPA </t>
  </si>
  <si>
    <t xml:space="preserve">check </t>
  </si>
  <si>
    <t xml:space="preserve">Other </t>
  </si>
  <si>
    <t xml:space="preserve">Weighted Alcohol </t>
  </si>
  <si>
    <t xml:space="preserve">Litres </t>
  </si>
  <si>
    <t xml:space="preserve">Weighted Alcohol - All Round Corner Brands </t>
  </si>
  <si>
    <t xml:space="preserve">Contract Brewing MUST be less than 50% of our total volume otherwise we will loose our Small Brewery Duty Rate - Contract Brewing is ONLY paid at the standard rate </t>
  </si>
  <si>
    <t xml:space="preserve">Charitable Giving </t>
  </si>
  <si>
    <t xml:space="preserve">Corporate Compliance </t>
  </si>
  <si>
    <t xml:space="preserve">Opening Balance </t>
  </si>
  <si>
    <t xml:space="preserve">COGs Packaging </t>
  </si>
  <si>
    <t xml:space="preserve">Closing Balance </t>
  </si>
  <si>
    <t xml:space="preserve">Capital Spend </t>
  </si>
  <si>
    <t xml:space="preserve">CAPEX </t>
  </si>
  <si>
    <t xml:space="preserve">OPEX </t>
  </si>
  <si>
    <t xml:space="preserve">Year 1 </t>
  </si>
  <si>
    <t xml:space="preserve">Phased percentages (volume) </t>
  </si>
  <si>
    <t xml:space="preserve">Phased percentage Contract </t>
  </si>
  <si>
    <t xml:space="preserve">Phased percentages spend </t>
  </si>
  <si>
    <t xml:space="preserve">Salary </t>
  </si>
  <si>
    <t xml:space="preserve">Marketing phasing </t>
  </si>
  <si>
    <t xml:space="preserve">(corporate compliance) </t>
  </si>
  <si>
    <t xml:space="preserve">Commission </t>
  </si>
  <si>
    <t xml:space="preserve">Year 2 </t>
  </si>
  <si>
    <t xml:space="preserve">Corporate Fees </t>
  </si>
  <si>
    <t xml:space="preserve">Salaries </t>
  </si>
  <si>
    <t xml:space="preserve">Expenses </t>
  </si>
  <si>
    <t>Euro</t>
    <phoneticPr fontId="1" type="noConversion"/>
  </si>
  <si>
    <t>USD</t>
    <phoneticPr fontId="1" type="noConversion"/>
  </si>
  <si>
    <t xml:space="preserve">£ GBP </t>
  </si>
  <si>
    <t xml:space="preserve">conversion </t>
    <phoneticPr fontId="1" type="noConversion"/>
  </si>
  <si>
    <t xml:space="preserve">Contingency </t>
  </si>
  <si>
    <t xml:space="preserve">C02 measurement - </t>
  </si>
  <si>
    <t xml:space="preserve">fridge </t>
  </si>
  <si>
    <t xml:space="preserve">Saccharometers </t>
  </si>
  <si>
    <t xml:space="preserve">pH Meter </t>
  </si>
  <si>
    <t xml:space="preserve">Lab Sundry items </t>
  </si>
  <si>
    <t xml:space="preserve">Lab Bench / furniture </t>
  </si>
  <si>
    <t xml:space="preserve">Microscope </t>
  </si>
  <si>
    <t xml:space="preserve">LAB </t>
  </si>
  <si>
    <t xml:space="preserve">3.5 Tonne Delivery Van Branded (or lease) </t>
  </si>
  <si>
    <t xml:space="preserve">Fork Lift Truck </t>
  </si>
  <si>
    <t xml:space="preserve">Kegs - 50 litre kegs </t>
  </si>
  <si>
    <t xml:space="preserve">Kegs - 30 Litre </t>
  </si>
  <si>
    <t xml:space="preserve">Casks - 9 Gallon firkins </t>
  </si>
  <si>
    <t xml:space="preserve">Cask washer / Racking hose </t>
  </si>
  <si>
    <t xml:space="preserve">Keg Washer / Filler Lambrechts </t>
  </si>
  <si>
    <t xml:space="preserve">Lenticular Filter for Lager </t>
  </si>
  <si>
    <t xml:space="preserve">Valving and Piping </t>
  </si>
  <si>
    <t xml:space="preserve">Workmen / welders/ plumbers  </t>
  </si>
  <si>
    <t xml:space="preserve">Bins for Grain out - farmer </t>
  </si>
  <si>
    <t>Engineering / drawings</t>
  </si>
  <si>
    <t xml:space="preserve">Pos 21 </t>
  </si>
  <si>
    <t xml:space="preserve">Delivery costs and import taxes </t>
  </si>
  <si>
    <t>Pos 20</t>
  </si>
  <si>
    <t>Pos 19</t>
  </si>
  <si>
    <t>Pos 18</t>
  </si>
  <si>
    <t>Pos 17</t>
  </si>
  <si>
    <t>Pos 16</t>
  </si>
  <si>
    <t>Pos 15</t>
  </si>
  <si>
    <t>Pos 14</t>
  </si>
  <si>
    <t xml:space="preserve">Beer Hoses </t>
  </si>
  <si>
    <t>Pos 13</t>
  </si>
  <si>
    <t>Pos 12</t>
  </si>
  <si>
    <t>Pos 11</t>
  </si>
  <si>
    <t>Pos 10</t>
  </si>
  <si>
    <t xml:space="preserve">Pos 9 </t>
  </si>
  <si>
    <t>Pos 8</t>
  </si>
  <si>
    <t xml:space="preserve">Pos 7 </t>
  </si>
  <si>
    <t xml:space="preserve">Pos 6 </t>
  </si>
  <si>
    <t xml:space="preserve">Pos 5 </t>
  </si>
  <si>
    <t xml:space="preserve">Pos 4 </t>
  </si>
  <si>
    <t xml:space="preserve">Pos 3 </t>
  </si>
  <si>
    <t xml:space="preserve">Pos 2 </t>
  </si>
  <si>
    <t xml:space="preserve">Pos 1 </t>
  </si>
  <si>
    <t xml:space="preserve">Drill Bore (year 2) </t>
  </si>
  <si>
    <t xml:space="preserve">Crane Lifting / Rigging </t>
  </si>
  <si>
    <t>Legal Fees</t>
  </si>
  <si>
    <t>CDMC</t>
  </si>
  <si>
    <t>Building Regs</t>
  </si>
  <si>
    <t>Planning</t>
  </si>
  <si>
    <t>Lighting /</t>
  </si>
  <si>
    <t>M&amp;E</t>
  </si>
  <si>
    <t xml:space="preserve">Heating / cooling </t>
  </si>
  <si>
    <t xml:space="preserve">Professional fees </t>
  </si>
  <si>
    <t xml:space="preserve">Waste water / sewerage connection </t>
  </si>
  <si>
    <t xml:space="preserve">Compressed air reticulation </t>
  </si>
  <si>
    <t xml:space="preserve">Domestic Water supply - Laboratory </t>
  </si>
  <si>
    <t xml:space="preserve">Softeners / RO / carbon filters </t>
  </si>
  <si>
    <t xml:space="preserve">Water reticulation </t>
  </si>
  <si>
    <t xml:space="preserve">Gas reticulation / supply </t>
  </si>
  <si>
    <t xml:space="preserve">Electrical installation </t>
  </si>
  <si>
    <t xml:space="preserve">utilities </t>
  </si>
  <si>
    <t xml:space="preserve">Doors (fire doors) &amp; Windows </t>
  </si>
  <si>
    <t xml:space="preserve">Drains </t>
  </si>
  <si>
    <t xml:space="preserve">Flooring (non-slip) </t>
  </si>
  <si>
    <t xml:space="preserve">Structural </t>
  </si>
  <si>
    <t xml:space="preserve">Total in GBP </t>
    <phoneticPr fontId="1" type="noConversion"/>
  </si>
  <si>
    <t xml:space="preserve">Total </t>
    <phoneticPr fontId="1" type="noConversion"/>
  </si>
  <si>
    <t xml:space="preserve">Quantity </t>
    <phoneticPr fontId="1" type="noConversion"/>
  </si>
  <si>
    <t>Price / €</t>
  </si>
  <si>
    <t xml:space="preserve">Asset </t>
  </si>
  <si>
    <t>Delivery</t>
  </si>
  <si>
    <t>FAT</t>
  </si>
  <si>
    <t>Year 2</t>
  </si>
  <si>
    <t xml:space="preserve">Year 3 </t>
  </si>
  <si>
    <t xml:space="preserve">Year 2 / 3 </t>
  </si>
  <si>
    <t>Loan Amount</t>
  </si>
  <si>
    <t>Interest Rate</t>
  </si>
  <si>
    <t>Months</t>
  </si>
  <si>
    <t>Payments</t>
  </si>
  <si>
    <t>Total Payments</t>
  </si>
  <si>
    <t>Principal Repaid</t>
  </si>
  <si>
    <t>Interest Repaid</t>
  </si>
  <si>
    <t>Period</t>
  </si>
  <si>
    <t>Beginning Balance</t>
  </si>
  <si>
    <t>Payment</t>
  </si>
  <si>
    <t>Principal</t>
  </si>
  <si>
    <t>Interest</t>
  </si>
  <si>
    <t>Cummulative Principal</t>
  </si>
  <si>
    <t>Cummulative Interest</t>
  </si>
  <si>
    <t>Ending Balance</t>
  </si>
  <si>
    <t xml:space="preserve">Debt repayments </t>
  </si>
  <si>
    <t xml:space="preserve">5 year Loan on Capital </t>
  </si>
  <si>
    <t xml:space="preserve">Change out asbestos roof (no raise) </t>
  </si>
  <si>
    <t xml:space="preserve">Notes </t>
  </si>
  <si>
    <t xml:space="preserve">reduced from £15k </t>
  </si>
  <si>
    <t>Reduce to 200 kegs (rent rest)</t>
  </si>
  <si>
    <t xml:space="preserve">only start with 30's </t>
  </si>
  <si>
    <t xml:space="preserve">Lease this? Or debt </t>
  </si>
  <si>
    <t xml:space="preserve">contingency reduced to 5% </t>
  </si>
  <si>
    <t>Steam boiler plus reticulation</t>
  </si>
  <si>
    <t xml:space="preserve">£33k steam generator / £17k reticulation </t>
  </si>
  <si>
    <t xml:space="preserve">Glycol chiller &amp; reticulation </t>
  </si>
  <si>
    <t xml:space="preserve">Reduced from £10k </t>
  </si>
  <si>
    <t>Milling Equipment and conveyor</t>
  </si>
  <si>
    <t xml:space="preserve">Mash Tun 15 BBL </t>
  </si>
  <si>
    <t xml:space="preserve">Kettle / Whirlpool vessel </t>
  </si>
  <si>
    <t xml:space="preserve">EWB </t>
  </si>
  <si>
    <t xml:space="preserve">15 BBL Unitank CCV </t>
  </si>
  <si>
    <t xml:space="preserve">HLT </t>
  </si>
  <si>
    <t>CLT</t>
  </si>
  <si>
    <t xml:space="preserve">WORT PLATE HEAT EXCHANGER </t>
  </si>
  <si>
    <t xml:space="preserve">GRIST HOPPER </t>
  </si>
  <si>
    <t xml:space="preserve">GRIST HYDRATOR </t>
  </si>
  <si>
    <t xml:space="preserve">UNDERBACK </t>
  </si>
  <si>
    <t xml:space="preserve">Commissioning costs / INSTALL </t>
  </si>
  <si>
    <t>REDUCE FROM £25K</t>
  </si>
  <si>
    <t xml:space="preserve">PUMPS </t>
  </si>
  <si>
    <t xml:space="preserve">FOR 1 X HOT WATER, 1 X COLD WATER, </t>
  </si>
  <si>
    <t xml:space="preserve">1 X HOPBACK, 1 X WORT, 1 X BEER </t>
  </si>
  <si>
    <t xml:space="preserve">TASTING ROOM BAR </t>
  </si>
  <si>
    <t>BEER SYSTEM, CASK, KEG, GLYCOL, PYTHON</t>
  </si>
  <si>
    <t xml:space="preserve">GLASS WASHER, FLAGONS, TABLES, CHAIRS </t>
  </si>
  <si>
    <t xml:space="preserve">TOTAL </t>
  </si>
  <si>
    <t xml:space="preserve">would need simple manifold and cleaner </t>
  </si>
  <si>
    <t>revenue per litre small pack</t>
  </si>
  <si>
    <t>Yr 1</t>
  </si>
  <si>
    <t>Yr 2</t>
  </si>
  <si>
    <t>Yr 3</t>
  </si>
  <si>
    <t xml:space="preserve">NB - need to smash through the 5,000 hL duty amount </t>
  </si>
  <si>
    <t>WILL BE CONTRACT PACKING WITHOUT EXTRA CAPEX</t>
  </si>
  <si>
    <t>Breaking duty barrier</t>
  </si>
  <si>
    <t xml:space="preserve">We will offer discreet contract brewing and packaging services once we are greater than 5,000 hL per year - to assist in cash flow, and paying off. We will be choosy about who we work with. Contract brewing volumes are not included in our duty calculations, as we would ship these under bond </t>
  </si>
  <si>
    <t xml:space="preserve">Smash through the duty Barrier Year 3 - 4 </t>
  </si>
  <si>
    <t xml:space="preserve">Yr 1 - 30p per litre (not including rent or staff costs (utilities, R&amp;M, Lab costs) we have room to move </t>
  </si>
  <si>
    <t xml:space="preserve">Break even happens quicker as not hiring early to build </t>
  </si>
  <si>
    <t xml:space="preserve">NB - dropped to £10k as can rentalise </t>
  </si>
  <si>
    <t xml:space="preserve">keep CAPEX low </t>
  </si>
  <si>
    <t xml:space="preserve">Reduced from £8k </t>
  </si>
  <si>
    <t>Our strategy will be focused on Keg sales in our 'back yard' (Market, Melton Mowbray &amp; Rutland) first. By driving local distribution which we will service ourselves, we will minimise discounts. Revenue is higher for small pack but so are COGs. We will be focused on growing small pack volume but manage this growth. Growing to 35% of our volume by year 5. Supermarkets are not core to our strategy and will only be serviced on our terms. As we grow our keg sales beyond our 'back yard' we will need to offer more discounts as our need to use 3rd party distributors increases. Therefore we will ensure that we never loose site of the importance of maintaining keg volume in our back yard.</t>
  </si>
  <si>
    <t xml:space="preserve">Allowing 32p per litre COGs year 1 - gives us room to move. Price per Litre drops as get bigger </t>
  </si>
  <si>
    <t xml:space="preserve">Year 1 = start with 1 x Brewer, hire second half way through year </t>
  </si>
  <si>
    <t>1 driver yr 1,2 &amp;3 / extra driver year 4</t>
  </si>
  <si>
    <t xml:space="preserve">1 x sales manager year 1 (will have options) , second hire year 3 ready to jump the 5,000 hL </t>
  </si>
  <si>
    <t xml:space="preserve">£600 per car per month </t>
  </si>
  <si>
    <t>This is a lot of fat on Production overheads - as only variable costs will increase with Contract production (20p)</t>
  </si>
  <si>
    <t>Offsite storage distribution facility from yr 4</t>
  </si>
  <si>
    <t xml:space="preserve">Sales Manager and Team measured on this not just volume. Discount increase as business grows as increase reliance on 3P distributers </t>
  </si>
  <si>
    <t>1 car is £4800 a year (£400 pcm)</t>
  </si>
  <si>
    <t xml:space="preserve">We will have some customers who pay COD, on cash flow we have assumed revenue comes in month later - so 4 weeks terms - same as duty which is end of following month. Assumed 2% bad debts year 1, 2,3 reducing </t>
  </si>
  <si>
    <t xml:space="preserve">£1000 per person per year from year2 </t>
  </si>
  <si>
    <t>£250 per person per year from year 2</t>
  </si>
  <si>
    <t xml:space="preserve">Salaries Office / finance / Manning Phones/cellar door </t>
  </si>
  <si>
    <t xml:space="preserve">Start with 1 who can manage cellar door and some telesales </t>
  </si>
  <si>
    <t xml:space="preserve">Shed is £8k, allow extra for storage at back and adhoc outside space in summer months </t>
  </si>
  <si>
    <t xml:space="preserve">CBC, WBC, Brau, Drinktec, London, Leeds etc festivals - Sales Manager and Brewers, Hop Harvest </t>
  </si>
  <si>
    <t xml:space="preserve">Year 4 </t>
  </si>
  <si>
    <t xml:space="preserve">Year 5 </t>
  </si>
  <si>
    <t xml:space="preserve">Fermentors Nett Size 60 BBL </t>
  </si>
  <si>
    <t xml:space="preserve">Fermentors Nett size 30 BBL </t>
  </si>
  <si>
    <t xml:space="preserve">Fermentors Nett Size 45 BBL </t>
  </si>
  <si>
    <t xml:space="preserve">Kegs casks and utilities </t>
  </si>
  <si>
    <t xml:space="preserve">kegs casks and utilities </t>
  </si>
  <si>
    <t xml:space="preserve">Bright Beer Tank 60hl </t>
  </si>
  <si>
    <t xml:space="preserve">Revenue is 1 month behind sales (1 month terms) </t>
  </si>
  <si>
    <t>Duty is 1 month behind sales end of following month</t>
  </si>
  <si>
    <t xml:space="preserve">Start Year 3 </t>
  </si>
  <si>
    <t xml:space="preserve">Bottle or can filler </t>
  </si>
  <si>
    <t xml:space="preserve">Year 2 or 3 </t>
  </si>
  <si>
    <t xml:space="preserve">Rates </t>
  </si>
  <si>
    <t xml:space="preserve">Rate for Distribution facility </t>
  </si>
  <si>
    <t>Vehicle Leasing</t>
  </si>
  <si>
    <t xml:space="preserve">£400 pcm </t>
  </si>
  <si>
    <t xml:space="preserve">Vehicle running Costs (Petrol, insurance, repairs) </t>
  </si>
  <si>
    <t>£500 pcm</t>
  </si>
  <si>
    <t xml:space="preserve">YEAR 3 </t>
  </si>
  <si>
    <t xml:space="preserve">YEAR 2 </t>
  </si>
  <si>
    <t xml:space="preserve">YEAR 4 </t>
  </si>
  <si>
    <t>Year 5</t>
  </si>
  <si>
    <t xml:space="preserve">YEAR 1 </t>
  </si>
  <si>
    <t>Quote £12k from All Water plus piping and tanks</t>
  </si>
  <si>
    <t xml:space="preserve">RCB Corporate Overheads </t>
  </si>
  <si>
    <t>BRAND DEVELOPMENT</t>
  </si>
  <si>
    <t xml:space="preserve">QS fees </t>
  </si>
  <si>
    <t xml:space="preserve">Upgrade to mash cooker and lauter tun </t>
  </si>
  <si>
    <t>Round Corner Brewing MASTER Capital Budget and Phasing</t>
  </si>
  <si>
    <t xml:space="preserve">reduced from £65k with quotes </t>
  </si>
  <si>
    <t>1. We will sell a lot of beer - starting via pubs, moving into small pack in year 2.  We are not planning to hang around and will fund a business and a brewery that is designed to excel (not just exist).  This isnt a hobby for us or our investors.</t>
  </si>
  <si>
    <t xml:space="preserve">3. We will contract brew for others as we build our own sales in order to develop market contacts but also to fund quality equipment. None in year 1 so we can manage duty implication </t>
  </si>
  <si>
    <t>Lost &amp; Grounded Keller Pils is £82.80  / Beavertown Neck Oil is £90.17 - take a price increase every year IF there is a duty increase</t>
  </si>
  <si>
    <t>RCB Corporate Overheads</t>
  </si>
  <si>
    <t>Out of Pocket Expenses Founders</t>
  </si>
  <si>
    <t xml:space="preserve">We need to remove current floor, and go down around 500mm - new slab and then 2 x wet area 9mm top coat and stainess steel box drains - asbestos roof removed and replaced with Galvanised steel - new LED lighting and insulation - all spend on function. </t>
  </si>
  <si>
    <t xml:space="preserve"> ALLOW </t>
  </si>
  <si>
    <t>Opportunity to manage without until yr 2 ?</t>
  </si>
  <si>
    <t>Lease this</t>
  </si>
  <si>
    <t xml:space="preserve">No debt at least year 1 </t>
  </si>
  <si>
    <t xml:space="preserve">Computers &amp; phones for sales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</si>
</sst>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164" formatCode="&quot;£&quot;#,##0;[Red]\-&quot;£&quot;#,##0"/>
    <numFmt numFmtId="165" formatCode="&quot;£&quot;#,##0.00;[Red]\-&quot;£&quot;#,##0.00"/>
    <numFmt numFmtId="166" formatCode="_-&quot;£&quot;* #,##0.00_-;\-&quot;£&quot;* #,##0.00_-;_-&quot;£&quot;* &quot;-&quot;??_-;_-@_-"/>
    <numFmt numFmtId="167" formatCode="#,##0_ ;[Red]\-#,##0\ "/>
    <numFmt numFmtId="168" formatCode="&quot;£&quot;#,##0.00;[Red]&quot;£&quot;#,##0.00"/>
    <numFmt numFmtId="169" formatCode="&quot;£&quot;#,##0.000;[Red]\-&quot;£&quot;#,##0.000"/>
    <numFmt numFmtId="170" formatCode="&quot;£&quot;#,##0.00"/>
    <numFmt numFmtId="171" formatCode="&quot;£&quot;#,##0"/>
    <numFmt numFmtId="172" formatCode="0.0"/>
    <numFmt numFmtId="173" formatCode="[$€-2]\ #,##0"/>
    <numFmt numFmtId="174" formatCode="[$€-2]\ #,##0.00"/>
    <numFmt numFmtId="175" formatCode="_-* #,##0.00_-;\-* #,##0.00_-;_-* &quot;-&quot;??_-;_-@_-"/>
    <numFmt numFmtId="176" formatCode="&quot;$&quot;#,##0.00;[Red]\-&quot;$&quot;#,##0.00"/>
    <numFmt numFmtId="177" formatCode="#,##0.00;[Red]\-#,##0.00;&quot;-&quot;"/>
  </numFmts>
  <fonts count="72">
    <font>
      <sz val="11"/>
      <color theme="1"/>
      <name val="Calibri"/>
      <family val="2"/>
      <scheme val="minor"/>
    </font>
    <font>
      <sz val="12"/>
      <color theme="1"/>
      <name val="Calibri"/>
      <family val="2"/>
      <scheme val="minor"/>
    </font>
    <font>
      <b/>
      <sz val="9"/>
      <color theme="1"/>
      <name val="Calibri"/>
      <family val="2"/>
      <scheme val="minor"/>
    </font>
    <font>
      <sz val="11"/>
      <color theme="1"/>
      <name val="Calibri"/>
      <family val="2"/>
      <scheme val="minor"/>
    </font>
    <font>
      <b/>
      <sz val="10"/>
      <color theme="1"/>
      <name val="Calibri"/>
      <family val="2"/>
      <scheme val="minor"/>
    </font>
    <font>
      <b/>
      <i/>
      <sz val="10"/>
      <color theme="1"/>
      <name val="Calibri"/>
      <family val="2"/>
      <scheme val="minor"/>
    </font>
    <font>
      <b/>
      <sz val="10"/>
      <name val="Calibri"/>
      <family val="2"/>
      <scheme val="minor"/>
    </font>
    <font>
      <sz val="9"/>
      <color theme="1"/>
      <name val="Calibri"/>
      <family val="2"/>
      <scheme val="minor"/>
    </font>
    <font>
      <sz val="9"/>
      <color rgb="FFFF0000"/>
      <name val="Calibri"/>
      <family val="2"/>
      <scheme val="minor"/>
    </font>
    <font>
      <b/>
      <i/>
      <sz val="9"/>
      <color theme="1"/>
      <name val="Calibri"/>
      <family val="2"/>
      <scheme val="minor"/>
    </font>
    <font>
      <b/>
      <i/>
      <sz val="9"/>
      <color theme="1" tint="0.34998626667073579"/>
      <name val="Calibri"/>
      <family val="2"/>
      <scheme val="minor"/>
    </font>
    <font>
      <i/>
      <sz val="9"/>
      <color theme="1" tint="0.34998626667073579"/>
      <name val="Calibri"/>
      <family val="2"/>
      <scheme val="minor"/>
    </font>
    <font>
      <b/>
      <i/>
      <sz val="9"/>
      <color rgb="FF0070C0"/>
      <name val="Calibri"/>
      <family val="2"/>
      <scheme val="minor"/>
    </font>
    <font>
      <i/>
      <sz val="9"/>
      <name val="Calibri"/>
      <family val="2"/>
      <scheme val="minor"/>
    </font>
    <font>
      <i/>
      <sz val="9"/>
      <color theme="1"/>
      <name val="Calibri"/>
      <family val="2"/>
      <scheme val="minor"/>
    </font>
    <font>
      <b/>
      <i/>
      <sz val="9"/>
      <color rgb="FFFF0000"/>
      <name val="Calibri"/>
      <family val="2"/>
      <scheme val="minor"/>
    </font>
    <font>
      <b/>
      <sz val="9"/>
      <color rgb="FFFF0000"/>
      <name val="Calibri"/>
      <family val="2"/>
      <scheme val="minor"/>
    </font>
    <font>
      <b/>
      <sz val="9"/>
      <name val="Calibri"/>
      <family val="2"/>
      <scheme val="minor"/>
    </font>
    <font>
      <b/>
      <i/>
      <sz val="9"/>
      <name val="Calibri"/>
      <family val="2"/>
      <scheme val="minor"/>
    </font>
    <font>
      <sz val="8"/>
      <name val="Calibri"/>
      <family val="2"/>
      <scheme val="minor"/>
    </font>
    <font>
      <i/>
      <sz val="8"/>
      <name val="Calibri"/>
      <family val="2"/>
      <scheme val="minor"/>
    </font>
    <font>
      <i/>
      <sz val="9"/>
      <color rgb="FFFF0000"/>
      <name val="Calibri"/>
      <family val="2"/>
      <scheme val="minor"/>
    </font>
    <font>
      <sz val="9"/>
      <color rgb="FF000000"/>
      <name val="Calibri"/>
      <family val="2"/>
      <scheme val="minor"/>
    </font>
    <font>
      <sz val="9"/>
      <name val="Calibri"/>
      <family val="2"/>
      <scheme val="minor"/>
    </font>
    <font>
      <b/>
      <i/>
      <sz val="8"/>
      <name val="Calibri"/>
      <family val="2"/>
      <scheme val="minor"/>
    </font>
    <font>
      <b/>
      <sz val="8"/>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i/>
      <sz val="11"/>
      <color theme="1"/>
      <name val="Calibri"/>
      <family val="2"/>
      <scheme val="minor"/>
    </font>
    <font>
      <b/>
      <i/>
      <sz val="9"/>
      <color theme="1" tint="0.249977111117893"/>
      <name val="Calibri"/>
      <family val="2"/>
      <scheme val="minor"/>
    </font>
    <font>
      <i/>
      <sz val="9"/>
      <color theme="1" tint="0.249977111117893"/>
      <name val="Calibri"/>
      <family val="2"/>
      <scheme val="minor"/>
    </font>
    <font>
      <b/>
      <sz val="9"/>
      <color theme="1" tint="0.249977111117893"/>
      <name val="Calibri"/>
      <family val="2"/>
      <scheme val="minor"/>
    </font>
    <font>
      <sz val="9"/>
      <color indexed="81"/>
      <name val="Tahoma"/>
      <family val="2"/>
    </font>
    <font>
      <b/>
      <sz val="9"/>
      <color indexed="81"/>
      <name val="Tahoma"/>
      <family val="2"/>
    </font>
    <font>
      <b/>
      <sz val="7"/>
      <color indexed="8"/>
      <name val="Calibri"/>
      <family val="2"/>
    </font>
    <font>
      <sz val="11"/>
      <color indexed="8"/>
      <name val="Calibri"/>
      <family val="2"/>
    </font>
    <font>
      <sz val="8"/>
      <color indexed="8"/>
      <name val="Calibri"/>
      <family val="2"/>
    </font>
    <font>
      <b/>
      <sz val="8"/>
      <color indexed="8"/>
      <name val="Calibri"/>
      <family val="2"/>
    </font>
    <font>
      <b/>
      <sz val="10"/>
      <color indexed="8"/>
      <name val="Calibri"/>
      <family val="2"/>
    </font>
    <font>
      <b/>
      <i/>
      <sz val="8"/>
      <color theme="0" tint="-0.34998626667073579"/>
      <name val="Calibri"/>
      <family val="2"/>
    </font>
    <font>
      <b/>
      <i/>
      <sz val="8"/>
      <color indexed="8"/>
      <name val="Calibri"/>
      <family val="2"/>
    </font>
    <font>
      <b/>
      <sz val="8"/>
      <name val="Calibri"/>
      <family val="2"/>
    </font>
    <font>
      <i/>
      <sz val="8"/>
      <color indexed="8"/>
      <name val="Calibri"/>
      <family val="2"/>
    </font>
    <font>
      <b/>
      <sz val="8"/>
      <color rgb="FF0070C0"/>
      <name val="Calibri"/>
      <family val="2"/>
    </font>
    <font>
      <b/>
      <i/>
      <sz val="7"/>
      <color indexed="8"/>
      <name val="Calibri"/>
      <family val="2"/>
    </font>
    <font>
      <sz val="8"/>
      <name val="Calibri"/>
      <family val="2"/>
    </font>
    <font>
      <b/>
      <sz val="14"/>
      <color indexed="8"/>
      <name val="Calibri"/>
      <family val="2"/>
    </font>
    <font>
      <sz val="8"/>
      <color rgb="FFFF0000"/>
      <name val="Calibri"/>
      <family val="2"/>
    </font>
    <font>
      <i/>
      <sz val="8"/>
      <color rgb="FFFF0000"/>
      <name val="Calibri"/>
      <family val="2"/>
    </font>
    <font>
      <b/>
      <i/>
      <sz val="8"/>
      <color rgb="FFFF0000"/>
      <name val="Calibri"/>
      <family val="2"/>
    </font>
    <font>
      <b/>
      <sz val="6"/>
      <color rgb="FFFF0000"/>
      <name val="Calibri"/>
      <family val="2"/>
    </font>
    <font>
      <sz val="6"/>
      <color rgb="FFFF0000"/>
      <name val="Calibri"/>
      <family val="2"/>
    </font>
    <font>
      <b/>
      <sz val="8"/>
      <name val="Calibri (Body)"/>
    </font>
    <font>
      <sz val="10"/>
      <color indexed="81"/>
      <name val="Calibri"/>
      <family val="2"/>
    </font>
    <font>
      <b/>
      <sz val="10"/>
      <color indexed="81"/>
      <name val="Calibri"/>
      <family val="2"/>
    </font>
    <font>
      <i/>
      <sz val="8"/>
      <color rgb="FF0070C0"/>
      <name val="Calibri"/>
      <family val="2"/>
      <scheme val="minor"/>
    </font>
    <font>
      <sz val="10"/>
      <color rgb="FF000000"/>
      <name val="Tahoma"/>
      <family val="2"/>
    </font>
    <font>
      <b/>
      <sz val="10"/>
      <color rgb="FF000000"/>
      <name val="Tahoma"/>
      <family val="2"/>
    </font>
    <font>
      <b/>
      <sz val="9"/>
      <color rgb="FF000000"/>
      <name val="Tahoma"/>
      <family val="2"/>
    </font>
    <font>
      <sz val="9"/>
      <color rgb="FF000000"/>
      <name val="Tahoma"/>
      <family val="2"/>
    </font>
    <font>
      <b/>
      <sz val="10"/>
      <color rgb="FF000000"/>
      <name val="Calibri"/>
      <family val="2"/>
    </font>
    <font>
      <sz val="10"/>
      <color rgb="FF000000"/>
      <name val="Calibri"/>
      <family val="2"/>
    </font>
    <font>
      <b/>
      <sz val="16"/>
      <color indexed="8"/>
      <name val="Calibri"/>
      <family val="2"/>
    </font>
    <font>
      <sz val="9"/>
      <color theme="1" tint="0.34998626667073579"/>
      <name val="Dubai Regular"/>
    </font>
    <font>
      <sz val="9"/>
      <color theme="1"/>
      <name val="Calibri"/>
      <family val="2"/>
    </font>
    <font>
      <sz val="12"/>
      <color theme="1"/>
      <name val="Calibri (Body)_x0000_"/>
    </font>
    <font>
      <b/>
      <i/>
      <sz val="12"/>
      <color theme="1"/>
      <name val="Calibri (Body)_x0000_"/>
    </font>
    <font>
      <b/>
      <sz val="12"/>
      <color theme="1"/>
      <name val="Calibri (Body)_x0000_"/>
    </font>
    <font>
      <i/>
      <sz val="12"/>
      <color theme="1"/>
      <name val="Calibri (Body)_x0000_"/>
    </font>
    <font>
      <b/>
      <sz val="12"/>
      <color rgb="FF000000"/>
      <name val="Calibri (Body)_x0000_"/>
    </font>
    <font>
      <i/>
      <sz val="12"/>
      <color theme="0" tint="-0.249977111117893"/>
      <name val="Calibri (Body)_x0000_"/>
    </font>
  </fonts>
  <fills count="20">
    <fill>
      <patternFill patternType="none"/>
    </fill>
    <fill>
      <patternFill patternType="gray125"/>
    </fill>
    <fill>
      <patternFill patternType="solid">
        <fgColor rgb="FFA7FFFF"/>
        <bgColor indexed="64"/>
      </patternFill>
    </fill>
    <fill>
      <patternFill patternType="solid">
        <fgColor rgb="FFFFFFCD"/>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66FFFF"/>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41"/>
        <bgColor indexed="64"/>
      </patternFill>
    </fill>
    <fill>
      <patternFill patternType="solid">
        <fgColor rgb="FF00FF00"/>
        <bgColor indexed="64"/>
      </patternFill>
    </fill>
    <fill>
      <patternFill patternType="solid">
        <fgColor rgb="FFE2EFDA"/>
        <bgColor rgb="FFE2EFDA"/>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59999389629810485"/>
        <bgColor indexed="64"/>
      </patternFill>
    </fill>
  </fills>
  <borders count="50">
    <border>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top/>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right style="thin">
        <color auto="1"/>
      </right>
      <top/>
      <bottom style="double">
        <color auto="1"/>
      </bottom>
      <diagonal/>
    </border>
    <border>
      <left style="thin">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style="thin">
        <color rgb="FF000000"/>
      </left>
      <right style="thin">
        <color rgb="FF000000"/>
      </right>
      <top style="thin">
        <color rgb="FF000000"/>
      </top>
      <bottom style="double">
        <color rgb="FF000000"/>
      </bottom>
      <diagonal/>
    </border>
    <border>
      <left style="medium">
        <color auto="1"/>
      </left>
      <right/>
      <top style="medium">
        <color auto="1"/>
      </top>
      <bottom style="medium">
        <color auto="1"/>
      </bottom>
      <diagonal/>
    </border>
    <border>
      <left/>
      <right style="double">
        <color auto="1"/>
      </right>
      <top/>
      <bottom style="double">
        <color auto="1"/>
      </bottom>
      <diagonal/>
    </border>
    <border>
      <left style="double">
        <color auto="1"/>
      </left>
      <right/>
      <top/>
      <bottom/>
      <diagonal/>
    </border>
    <border>
      <left/>
      <right style="double">
        <color auto="1"/>
      </right>
      <top style="double">
        <color auto="1"/>
      </top>
      <bottom/>
      <diagonal/>
    </border>
    <border>
      <left/>
      <right/>
      <top/>
      <bottom style="slantDashDot">
        <color auto="1"/>
      </bottom>
      <diagonal/>
    </border>
    <border>
      <left style="slantDashDot">
        <color auto="1"/>
      </left>
      <right/>
      <top/>
      <bottom style="slantDashDot">
        <color auto="1"/>
      </bottom>
      <diagonal/>
    </border>
    <border>
      <left style="thin">
        <color rgb="FF000000"/>
      </left>
      <right style="double">
        <color indexed="64"/>
      </right>
      <top style="thin">
        <color rgb="FF000000"/>
      </top>
      <bottom/>
      <diagonal/>
    </border>
    <border>
      <left style="thin">
        <color auto="1"/>
      </left>
      <right style="double">
        <color indexed="64"/>
      </right>
      <top style="thin">
        <color auto="1"/>
      </top>
      <bottom style="thin">
        <color auto="1"/>
      </bottom>
      <diagonal/>
    </border>
    <border>
      <left/>
      <right/>
      <top/>
      <bottom style="thin">
        <color rgb="FF000000"/>
      </bottom>
      <diagonal/>
    </border>
    <border>
      <left/>
      <right/>
      <top style="thick">
        <color indexed="64"/>
      </top>
      <bottom/>
      <diagonal/>
    </border>
  </borders>
  <cellStyleXfs count="7">
    <xf numFmtId="0" fontId="0"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6" fillId="0" borderId="0"/>
    <xf numFmtId="175" fontId="3" fillId="0" borderId="0" applyFont="0" applyFill="0" applyBorder="0" applyAlignment="0" applyProtection="0"/>
  </cellStyleXfs>
  <cellXfs count="504">
    <xf numFmtId="0" fontId="0" fillId="0" borderId="0" xfId="0"/>
    <xf numFmtId="0" fontId="2" fillId="0" borderId="0" xfId="0" applyFont="1" applyFill="1" applyBorder="1" applyAlignment="1">
      <alignment horizontal="left"/>
    </xf>
    <xf numFmtId="0" fontId="7" fillId="0" borderId="0" xfId="0" applyFont="1" applyFill="1" applyBorder="1"/>
    <xf numFmtId="0" fontId="7" fillId="0" borderId="0" xfId="0" applyFont="1" applyFill="1" applyBorder="1" applyAlignment="1">
      <alignment horizontal="center"/>
    </xf>
    <xf numFmtId="0" fontId="11" fillId="0" borderId="0" xfId="0" applyFont="1" applyFill="1" applyBorder="1"/>
    <xf numFmtId="0" fontId="8" fillId="0" borderId="0" xfId="0" applyFont="1" applyFill="1" applyBorder="1"/>
    <xf numFmtId="0" fontId="2" fillId="2" borderId="7" xfId="0" applyFont="1" applyFill="1" applyBorder="1" applyAlignment="1">
      <alignment horizontal="left" vertical="center" wrapText="1"/>
    </xf>
    <xf numFmtId="0" fontId="7" fillId="2" borderId="7" xfId="0" applyFont="1" applyFill="1" applyBorder="1"/>
    <xf numFmtId="164" fontId="7" fillId="2" borderId="0" xfId="0" applyNumberFormat="1" applyFont="1" applyFill="1" applyBorder="1" applyAlignment="1">
      <alignment horizontal="center"/>
    </xf>
    <xf numFmtId="165" fontId="7" fillId="2" borderId="0" xfId="0" applyNumberFormat="1" applyFont="1" applyFill="1" applyBorder="1" applyAlignment="1">
      <alignment horizontal="center"/>
    </xf>
    <xf numFmtId="0" fontId="2" fillId="2" borderId="7" xfId="0" applyFont="1" applyFill="1" applyBorder="1" applyAlignment="1">
      <alignment vertical="center"/>
    </xf>
    <xf numFmtId="0" fontId="14" fillId="2" borderId="7" xfId="0" applyFont="1" applyFill="1" applyBorder="1"/>
    <xf numFmtId="0" fontId="9" fillId="2" borderId="7" xfId="0" applyFont="1" applyFill="1" applyBorder="1" applyAlignment="1">
      <alignment vertical="center" wrapText="1"/>
    </xf>
    <xf numFmtId="165" fontId="2" fillId="2" borderId="0" xfId="0" applyNumberFormat="1"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11" fillId="0" borderId="0" xfId="0" applyFont="1" applyFill="1"/>
    <xf numFmtId="0" fontId="12" fillId="0" borderId="0" xfId="0" applyFont="1" applyFill="1"/>
    <xf numFmtId="0" fontId="2" fillId="0" borderId="0" xfId="0" applyFont="1" applyFill="1"/>
    <xf numFmtId="0" fontId="14" fillId="0" borderId="0" xfId="0" applyFont="1" applyFill="1"/>
    <xf numFmtId="0" fontId="9" fillId="0" borderId="0" xfId="0" applyFont="1" applyFill="1"/>
    <xf numFmtId="9" fontId="7" fillId="0" borderId="0" xfId="4" applyFont="1" applyFill="1"/>
    <xf numFmtId="0" fontId="7" fillId="2" borderId="0" xfId="0" applyFont="1" applyFill="1" applyBorder="1"/>
    <xf numFmtId="167" fontId="7" fillId="2" borderId="0" xfId="0" applyNumberFormat="1" applyFont="1" applyFill="1" applyBorder="1" applyAlignment="1">
      <alignment horizontal="center"/>
    </xf>
    <xf numFmtId="169" fontId="7" fillId="2" borderId="0" xfId="0" applyNumberFormat="1" applyFont="1" applyFill="1" applyBorder="1" applyAlignment="1">
      <alignment horizontal="center"/>
    </xf>
    <xf numFmtId="0" fontId="2" fillId="2" borderId="3" xfId="0" applyFont="1" applyFill="1" applyBorder="1"/>
    <xf numFmtId="164" fontId="2" fillId="2" borderId="3" xfId="0" applyNumberFormat="1" applyFont="1" applyFill="1" applyBorder="1" applyAlignment="1">
      <alignment horizontal="center"/>
    </xf>
    <xf numFmtId="0" fontId="7" fillId="2" borderId="1" xfId="0" applyFont="1" applyFill="1" applyBorder="1"/>
    <xf numFmtId="165" fontId="7" fillId="2" borderId="1" xfId="0" applyNumberFormat="1" applyFont="1" applyFill="1" applyBorder="1" applyAlignment="1">
      <alignment horizontal="center"/>
    </xf>
    <xf numFmtId="0" fontId="7" fillId="2" borderId="3" xfId="0" applyFont="1" applyFill="1" applyBorder="1"/>
    <xf numFmtId="165" fontId="7" fillId="2" borderId="3" xfId="0" applyNumberFormat="1" applyFont="1" applyFill="1" applyBorder="1" applyAlignment="1">
      <alignment horizontal="center"/>
    </xf>
    <xf numFmtId="0" fontId="13" fillId="2" borderId="3" xfId="0" applyFont="1" applyFill="1" applyBorder="1"/>
    <xf numFmtId="165" fontId="13" fillId="2" borderId="3" xfId="0" applyNumberFormat="1" applyFont="1" applyFill="1" applyBorder="1" applyAlignment="1">
      <alignment horizontal="center"/>
    </xf>
    <xf numFmtId="0" fontId="2" fillId="2" borderId="4" xfId="0" applyFont="1" applyFill="1" applyBorder="1" applyAlignment="1">
      <alignment horizontal="center" vertical="center" wrapText="1"/>
    </xf>
    <xf numFmtId="0" fontId="9" fillId="2" borderId="4" xfId="0" applyFont="1" applyFill="1" applyBorder="1"/>
    <xf numFmtId="165" fontId="2" fillId="2" borderId="4" xfId="0" applyNumberFormat="1" applyFont="1" applyFill="1" applyBorder="1" applyAlignment="1">
      <alignment horizontal="center"/>
    </xf>
    <xf numFmtId="0" fontId="14" fillId="2" borderId="1" xfId="0" applyFont="1" applyFill="1" applyBorder="1"/>
    <xf numFmtId="165" fontId="14" fillId="2" borderId="1" xfId="0" applyNumberFormat="1" applyFont="1" applyFill="1" applyBorder="1" applyAlignment="1">
      <alignment horizontal="center"/>
    </xf>
    <xf numFmtId="0" fontId="14" fillId="2" borderId="0" xfId="0" applyFont="1" applyFill="1" applyBorder="1"/>
    <xf numFmtId="165" fontId="14" fillId="2" borderId="0" xfId="0" applyNumberFormat="1" applyFont="1" applyFill="1" applyBorder="1" applyAlignment="1">
      <alignment horizontal="center"/>
    </xf>
    <xf numFmtId="0" fontId="7" fillId="3" borderId="0" xfId="0" applyFont="1" applyFill="1" applyBorder="1"/>
    <xf numFmtId="165" fontId="7" fillId="3" borderId="0" xfId="0" applyNumberFormat="1" applyFont="1" applyFill="1" applyBorder="1" applyAlignment="1">
      <alignment horizontal="center"/>
    </xf>
    <xf numFmtId="0" fontId="9" fillId="3" borderId="0" xfId="0" applyFont="1" applyFill="1" applyBorder="1"/>
    <xf numFmtId="0" fontId="7" fillId="3" borderId="3" xfId="0" applyFont="1" applyFill="1" applyBorder="1"/>
    <xf numFmtId="165" fontId="7" fillId="3" borderId="3" xfId="0" applyNumberFormat="1" applyFont="1" applyFill="1" applyBorder="1" applyAlignment="1">
      <alignment horizontal="center"/>
    </xf>
    <xf numFmtId="0" fontId="2" fillId="3" borderId="4" xfId="0" applyFont="1" applyFill="1" applyBorder="1" applyAlignment="1">
      <alignment horizontal="center"/>
    </xf>
    <xf numFmtId="0" fontId="7" fillId="3" borderId="4" xfId="0" applyFont="1" applyFill="1" applyBorder="1"/>
    <xf numFmtId="165" fontId="7" fillId="3" borderId="4" xfId="0" applyNumberFormat="1" applyFont="1" applyFill="1" applyBorder="1" applyAlignment="1">
      <alignment horizontal="center"/>
    </xf>
    <xf numFmtId="165" fontId="7" fillId="3" borderId="1" xfId="0" applyNumberFormat="1" applyFont="1" applyFill="1" applyBorder="1" applyAlignment="1">
      <alignment horizontal="center"/>
    </xf>
    <xf numFmtId="0" fontId="2" fillId="3" borderId="0" xfId="0" applyFont="1" applyFill="1" applyBorder="1"/>
    <xf numFmtId="165" fontId="2" fillId="3" borderId="0" xfId="0" applyNumberFormat="1" applyFont="1" applyFill="1" applyBorder="1" applyAlignment="1">
      <alignment horizontal="center"/>
    </xf>
    <xf numFmtId="170" fontId="7" fillId="3" borderId="0" xfId="0" applyNumberFormat="1" applyFont="1" applyFill="1" applyAlignment="1">
      <alignment horizontal="center"/>
    </xf>
    <xf numFmtId="170" fontId="7" fillId="3" borderId="0" xfId="0" applyNumberFormat="1" applyFont="1" applyFill="1" applyBorder="1" applyAlignment="1">
      <alignment horizontal="center"/>
    </xf>
    <xf numFmtId="0" fontId="23" fillId="0" borderId="0" xfId="0" applyFont="1" applyFill="1" applyAlignment="1">
      <alignment horizontal="center"/>
    </xf>
    <xf numFmtId="0" fontId="23" fillId="0" borderId="0" xfId="0" applyFont="1" applyFill="1"/>
    <xf numFmtId="0" fontId="2" fillId="3" borderId="7" xfId="0" applyFont="1" applyFill="1" applyBorder="1" applyAlignment="1">
      <alignment horizontal="left"/>
    </xf>
    <xf numFmtId="0" fontId="7" fillId="3" borderId="7" xfId="0" applyFont="1" applyFill="1" applyBorder="1"/>
    <xf numFmtId="0" fontId="2" fillId="3" borderId="7" xfId="0" applyFont="1" applyFill="1" applyBorder="1" applyAlignment="1">
      <alignment horizontal="left" vertical="center" wrapText="1"/>
    </xf>
    <xf numFmtId="0" fontId="14" fillId="3" borderId="7" xfId="0" applyFont="1" applyFill="1" applyBorder="1"/>
    <xf numFmtId="0" fontId="2" fillId="3" borderId="7" xfId="0" applyFont="1" applyFill="1" applyBorder="1" applyAlignment="1">
      <alignment vertical="center" wrapText="1"/>
    </xf>
    <xf numFmtId="0" fontId="5" fillId="3" borderId="0" xfId="0" applyFont="1" applyFill="1"/>
    <xf numFmtId="0" fontId="5" fillId="3" borderId="0" xfId="0" applyFont="1" applyFill="1" applyAlignment="1">
      <alignment horizontal="center"/>
    </xf>
    <xf numFmtId="0" fontId="11" fillId="3" borderId="0" xfId="0" applyFont="1" applyFill="1"/>
    <xf numFmtId="165" fontId="11" fillId="3" borderId="0" xfId="0" applyNumberFormat="1" applyFont="1" applyFill="1" applyAlignment="1">
      <alignment horizontal="center"/>
    </xf>
    <xf numFmtId="9" fontId="11" fillId="3" borderId="0" xfId="0" applyNumberFormat="1" applyFont="1" applyFill="1" applyAlignment="1">
      <alignment horizontal="center"/>
    </xf>
    <xf numFmtId="0" fontId="12" fillId="3" borderId="0" xfId="0" applyFont="1" applyFill="1"/>
    <xf numFmtId="171" fontId="12" fillId="3" borderId="0" xfId="0" applyNumberFormat="1" applyFont="1" applyFill="1" applyAlignment="1">
      <alignment horizontal="center"/>
    </xf>
    <xf numFmtId="0" fontId="12" fillId="3" borderId="3" xfId="0" applyFont="1" applyFill="1" applyBorder="1"/>
    <xf numFmtId="171" fontId="12" fillId="3" borderId="3" xfId="0" applyNumberFormat="1" applyFont="1" applyFill="1" applyBorder="1" applyAlignment="1">
      <alignment horizontal="center"/>
    </xf>
    <xf numFmtId="0" fontId="2" fillId="3" borderId="3" xfId="0" applyFont="1" applyFill="1" applyBorder="1"/>
    <xf numFmtId="165" fontId="2" fillId="3" borderId="3" xfId="0" applyNumberFormat="1" applyFont="1" applyFill="1" applyBorder="1" applyAlignment="1">
      <alignment horizontal="center"/>
    </xf>
    <xf numFmtId="0" fontId="16" fillId="3" borderId="4" xfId="0" applyFont="1" applyFill="1" applyBorder="1"/>
    <xf numFmtId="0" fontId="15" fillId="3" borderId="4" xfId="0" applyFont="1" applyFill="1" applyBorder="1"/>
    <xf numFmtId="165" fontId="15" fillId="3" borderId="4" xfId="0" applyNumberFormat="1" applyFont="1" applyFill="1" applyBorder="1" applyAlignment="1">
      <alignment horizontal="center"/>
    </xf>
    <xf numFmtId="0" fontId="17" fillId="3" borderId="7" xfId="0" applyFont="1" applyFill="1" applyBorder="1" applyAlignment="1">
      <alignment horizontal="left" vertical="center" wrapText="1"/>
    </xf>
    <xf numFmtId="0" fontId="2" fillId="3" borderId="7" xfId="0" applyFont="1" applyFill="1" applyBorder="1"/>
    <xf numFmtId="0" fontId="16" fillId="3" borderId="9" xfId="0" applyFont="1" applyFill="1" applyBorder="1" applyAlignment="1">
      <alignment horizontal="left"/>
    </xf>
    <xf numFmtId="0" fontId="21" fillId="3" borderId="9" xfId="0" applyFont="1" applyFill="1" applyBorder="1"/>
    <xf numFmtId="165" fontId="21" fillId="3" borderId="3" xfId="0" applyNumberFormat="1" applyFont="1" applyFill="1" applyBorder="1" applyAlignment="1">
      <alignment horizontal="center"/>
    </xf>
    <xf numFmtId="0" fontId="7" fillId="4" borderId="0" xfId="0" applyFont="1" applyFill="1"/>
    <xf numFmtId="0" fontId="7" fillId="4" borderId="0" xfId="0" applyFont="1" applyFill="1" applyAlignment="1">
      <alignment horizontal="center"/>
    </xf>
    <xf numFmtId="0" fontId="8" fillId="4" borderId="0" xfId="0" applyFont="1" applyFill="1" applyBorder="1" applyAlignment="1">
      <alignment horizontal="center"/>
    </xf>
    <xf numFmtId="0" fontId="19" fillId="4" borderId="0" xfId="0" applyFont="1" applyFill="1" applyAlignment="1">
      <alignment horizontal="center"/>
    </xf>
    <xf numFmtId="0" fontId="19" fillId="4" borderId="0" xfId="0" applyFont="1" applyFill="1"/>
    <xf numFmtId="0" fontId="4" fillId="4" borderId="0" xfId="0" applyFont="1" applyFill="1" applyAlignment="1">
      <alignment horizontal="center"/>
    </xf>
    <xf numFmtId="0" fontId="7" fillId="4" borderId="0" xfId="0" applyFont="1" applyFill="1" applyBorder="1"/>
    <xf numFmtId="0" fontId="2" fillId="4" borderId="0" xfId="0" applyFont="1" applyFill="1" applyBorder="1"/>
    <xf numFmtId="165" fontId="2" fillId="4" borderId="0" xfId="0" applyNumberFormat="1" applyFont="1" applyFill="1" applyBorder="1" applyAlignment="1">
      <alignment horizontal="center"/>
    </xf>
    <xf numFmtId="165" fontId="2" fillId="4" borderId="2" xfId="0" applyNumberFormat="1" applyFont="1" applyFill="1" applyBorder="1" applyAlignment="1">
      <alignment horizontal="center"/>
    </xf>
    <xf numFmtId="0" fontId="2" fillId="4" borderId="3" xfId="0" applyFont="1" applyFill="1" applyBorder="1"/>
    <xf numFmtId="10" fontId="16" fillId="4" borderId="3" xfId="0" applyNumberFormat="1" applyFont="1" applyFill="1" applyBorder="1" applyAlignment="1">
      <alignment horizontal="center"/>
    </xf>
    <xf numFmtId="10" fontId="17" fillId="4" borderId="5" xfId="0" applyNumberFormat="1" applyFont="1" applyFill="1" applyBorder="1" applyAlignment="1">
      <alignment horizontal="center"/>
    </xf>
    <xf numFmtId="165" fontId="7" fillId="4" borderId="0" xfId="0" applyNumberFormat="1" applyFont="1" applyFill="1" applyBorder="1" applyAlignment="1">
      <alignment horizontal="center"/>
    </xf>
    <xf numFmtId="170" fontId="17" fillId="4" borderId="3" xfId="0" applyNumberFormat="1" applyFont="1" applyFill="1" applyBorder="1" applyAlignment="1">
      <alignment horizontal="center"/>
    </xf>
    <xf numFmtId="0" fontId="7" fillId="4" borderId="1" xfId="0" applyFont="1" applyFill="1" applyBorder="1"/>
    <xf numFmtId="0" fontId="2" fillId="4" borderId="1" xfId="0" applyFont="1" applyFill="1" applyBorder="1"/>
    <xf numFmtId="165" fontId="7" fillId="4" borderId="1" xfId="0" applyNumberFormat="1" applyFont="1" applyFill="1" applyBorder="1" applyAlignment="1">
      <alignment horizontal="center"/>
    </xf>
    <xf numFmtId="0" fontId="7" fillId="4" borderId="3" xfId="0" applyFont="1" applyFill="1" applyBorder="1"/>
    <xf numFmtId="10" fontId="8" fillId="4" borderId="3" xfId="0" applyNumberFormat="1" applyFont="1" applyFill="1" applyBorder="1" applyAlignment="1">
      <alignment horizontal="center"/>
    </xf>
    <xf numFmtId="10" fontId="7" fillId="4" borderId="0" xfId="0" applyNumberFormat="1" applyFont="1" applyFill="1" applyBorder="1" applyAlignment="1">
      <alignment horizontal="center"/>
    </xf>
    <xf numFmtId="10" fontId="7" fillId="4" borderId="3" xfId="0" applyNumberFormat="1" applyFont="1" applyFill="1" applyBorder="1" applyAlignment="1">
      <alignment horizontal="center"/>
    </xf>
    <xf numFmtId="0" fontId="9" fillId="4" borderId="0" xfId="0" applyFont="1" applyFill="1" applyBorder="1"/>
    <xf numFmtId="167" fontId="9" fillId="4" borderId="0" xfId="0" applyNumberFormat="1" applyFont="1" applyFill="1" applyBorder="1" applyAlignment="1">
      <alignment horizontal="center"/>
    </xf>
    <xf numFmtId="167" fontId="9" fillId="4" borderId="1" xfId="0" applyNumberFormat="1" applyFont="1" applyFill="1" applyBorder="1" applyAlignment="1">
      <alignment horizontal="center"/>
    </xf>
    <xf numFmtId="0" fontId="9" fillId="4" borderId="0" xfId="0" applyNumberFormat="1" applyFont="1" applyFill="1" applyBorder="1" applyAlignment="1">
      <alignment horizontal="center"/>
    </xf>
    <xf numFmtId="165" fontId="7" fillId="4" borderId="0" xfId="0" applyNumberFormat="1" applyFont="1" applyFill="1" applyAlignment="1">
      <alignment horizontal="center"/>
    </xf>
    <xf numFmtId="0" fontId="11" fillId="4" borderId="0" xfId="0" applyFont="1" applyFill="1"/>
    <xf numFmtId="167" fontId="11" fillId="4" borderId="0" xfId="0" applyNumberFormat="1" applyFont="1" applyFill="1" applyAlignment="1">
      <alignment horizontal="center"/>
    </xf>
    <xf numFmtId="9" fontId="7" fillId="4" borderId="0" xfId="4" applyFont="1" applyFill="1"/>
    <xf numFmtId="9" fontId="11" fillId="4" borderId="0" xfId="4" applyFont="1" applyFill="1"/>
    <xf numFmtId="9" fontId="7" fillId="4" borderId="0" xfId="4" applyFont="1" applyFill="1" applyAlignment="1">
      <alignment horizontal="center"/>
    </xf>
    <xf numFmtId="0" fontId="18" fillId="4" borderId="0" xfId="0" applyFont="1" applyFill="1"/>
    <xf numFmtId="167" fontId="18" fillId="4" borderId="0" xfId="0" applyNumberFormat="1" applyFont="1" applyFill="1" applyAlignment="1">
      <alignment horizontal="center"/>
    </xf>
    <xf numFmtId="0" fontId="12" fillId="4" borderId="0" xfId="0" applyFont="1" applyFill="1"/>
    <xf numFmtId="168" fontId="12" fillId="4" borderId="0" xfId="0" applyNumberFormat="1" applyFont="1" applyFill="1" applyAlignment="1">
      <alignment horizontal="center"/>
    </xf>
    <xf numFmtId="0" fontId="23" fillId="4" borderId="0" xfId="0" applyFont="1" applyFill="1" applyAlignment="1">
      <alignment horizontal="center"/>
    </xf>
    <xf numFmtId="0" fontId="23" fillId="4" borderId="0" xfId="0" applyFont="1" applyFill="1"/>
    <xf numFmtId="0" fontId="2" fillId="4" borderId="0" xfId="0" applyFont="1" applyFill="1" applyBorder="1" applyAlignment="1">
      <alignment horizontal="left"/>
    </xf>
    <xf numFmtId="0" fontId="7" fillId="4" borderId="0" xfId="0" applyFont="1" applyFill="1" applyBorder="1" applyAlignment="1">
      <alignment horizontal="center"/>
    </xf>
    <xf numFmtId="0" fontId="2" fillId="4" borderId="0" xfId="0" applyFont="1" applyFill="1" applyBorder="1" applyAlignment="1">
      <alignment horizontal="center"/>
    </xf>
    <xf numFmtId="0" fontId="10" fillId="4" borderId="7" xfId="0" applyFont="1" applyFill="1" applyBorder="1" applyAlignment="1">
      <alignment horizontal="left"/>
    </xf>
    <xf numFmtId="0" fontId="9" fillId="4" borderId="7" xfId="0" applyFont="1" applyFill="1" applyBorder="1" applyAlignment="1">
      <alignment horizontal="right"/>
    </xf>
    <xf numFmtId="0" fontId="9" fillId="4" borderId="8" xfId="0" applyFont="1" applyFill="1" applyBorder="1" applyAlignment="1">
      <alignment horizontal="center"/>
    </xf>
    <xf numFmtId="0" fontId="9" fillId="4" borderId="0" xfId="0" applyFont="1" applyFill="1" applyBorder="1" applyAlignment="1">
      <alignment horizontal="center"/>
    </xf>
    <xf numFmtId="0" fontId="11" fillId="4" borderId="0" xfId="0" applyFont="1" applyFill="1" applyBorder="1"/>
    <xf numFmtId="0" fontId="8" fillId="4" borderId="0" xfId="0" applyFont="1" applyFill="1" applyBorder="1"/>
    <xf numFmtId="0" fontId="2" fillId="4" borderId="7" xfId="0" applyFont="1" applyFill="1" applyBorder="1" applyAlignment="1">
      <alignment horizontal="left"/>
    </xf>
    <xf numFmtId="0" fontId="2" fillId="4" borderId="7" xfId="0" applyFont="1" applyFill="1" applyBorder="1"/>
    <xf numFmtId="0" fontId="2" fillId="4" borderId="10" xfId="0" applyFont="1" applyFill="1" applyBorder="1" applyAlignment="1">
      <alignment horizontal="left"/>
    </xf>
    <xf numFmtId="10" fontId="17" fillId="4" borderId="0" xfId="0" applyNumberFormat="1" applyFont="1" applyFill="1" applyBorder="1" applyAlignment="1">
      <alignment horizontal="center"/>
    </xf>
    <xf numFmtId="0" fontId="11" fillId="4" borderId="11" xfId="0" applyFont="1" applyFill="1" applyBorder="1"/>
    <xf numFmtId="165" fontId="11" fillId="4" borderId="12" xfId="0" applyNumberFormat="1" applyFont="1" applyFill="1" applyBorder="1" applyAlignment="1">
      <alignment horizontal="center"/>
    </xf>
    <xf numFmtId="165" fontId="11" fillId="4" borderId="13" xfId="0" applyNumberFormat="1" applyFont="1" applyFill="1" applyBorder="1" applyAlignment="1">
      <alignment horizontal="center"/>
    </xf>
    <xf numFmtId="0" fontId="11" fillId="4" borderId="7" xfId="0" applyFont="1" applyFill="1" applyBorder="1"/>
    <xf numFmtId="170" fontId="11" fillId="4" borderId="0" xfId="0" applyNumberFormat="1" applyFont="1" applyFill="1" applyBorder="1" applyAlignment="1">
      <alignment horizontal="center"/>
    </xf>
    <xf numFmtId="165" fontId="14" fillId="4" borderId="0" xfId="0" applyNumberFormat="1" applyFont="1" applyFill="1" applyBorder="1" applyAlignment="1">
      <alignment horizontal="center"/>
    </xf>
    <xf numFmtId="165" fontId="11" fillId="4" borderId="0" xfId="0" applyNumberFormat="1" applyFont="1" applyFill="1" applyBorder="1" applyAlignment="1">
      <alignment horizontal="center"/>
    </xf>
    <xf numFmtId="10" fontId="21" fillId="4" borderId="0" xfId="0" applyNumberFormat="1" applyFont="1" applyFill="1" applyBorder="1" applyAlignment="1">
      <alignment horizontal="center"/>
    </xf>
    <xf numFmtId="10" fontId="11" fillId="4" borderId="0" xfId="0" applyNumberFormat="1" applyFont="1" applyFill="1" applyBorder="1" applyAlignment="1">
      <alignment horizontal="center"/>
    </xf>
    <xf numFmtId="165" fontId="20" fillId="4" borderId="0" xfId="0" applyNumberFormat="1" applyFont="1" applyFill="1" applyAlignment="1">
      <alignment horizontal="left"/>
    </xf>
    <xf numFmtId="165" fontId="0" fillId="0" borderId="0" xfId="0" applyNumberFormat="1"/>
    <xf numFmtId="0" fontId="27" fillId="0" borderId="0" xfId="0" applyFont="1"/>
    <xf numFmtId="9" fontId="0" fillId="0" borderId="0" xfId="0" applyNumberFormat="1" applyFont="1"/>
    <xf numFmtId="0" fontId="26" fillId="0" borderId="0" xfId="0" applyFont="1"/>
    <xf numFmtId="165" fontId="26" fillId="0" borderId="0" xfId="0" applyNumberFormat="1" applyFont="1"/>
    <xf numFmtId="0" fontId="26" fillId="0" borderId="0" xfId="0" applyFont="1" applyAlignment="1">
      <alignment horizontal="center"/>
    </xf>
    <xf numFmtId="165" fontId="26" fillId="0" borderId="0" xfId="0" applyNumberFormat="1" applyFont="1" applyAlignment="1">
      <alignment horizontal="center"/>
    </xf>
    <xf numFmtId="0" fontId="0" fillId="5" borderId="0" xfId="0" applyFill="1"/>
    <xf numFmtId="10" fontId="0" fillId="0" borderId="0" xfId="0" applyNumberFormat="1"/>
    <xf numFmtId="10" fontId="26" fillId="7" borderId="0" xfId="0" applyNumberFormat="1" applyFont="1" applyFill="1"/>
    <xf numFmtId="0" fontId="28" fillId="0" borderId="0" xfId="0" applyFont="1"/>
    <xf numFmtId="0" fontId="29" fillId="0" borderId="0" xfId="0" applyFont="1"/>
    <xf numFmtId="172" fontId="0" fillId="0" borderId="0" xfId="0" applyNumberFormat="1"/>
    <xf numFmtId="172" fontId="0" fillId="0" borderId="0" xfId="0" applyNumberFormat="1" applyAlignment="1">
      <alignment horizontal="center"/>
    </xf>
    <xf numFmtId="0" fontId="0" fillId="0" borderId="0" xfId="0" applyAlignment="1">
      <alignment horizontal="center" vertical="center"/>
    </xf>
    <xf numFmtId="9" fontId="0" fillId="0" borderId="0" xfId="0" applyNumberFormat="1"/>
    <xf numFmtId="9" fontId="14" fillId="0" borderId="0" xfId="0" applyNumberFormat="1" applyFont="1"/>
    <xf numFmtId="0" fontId="14" fillId="0" borderId="0" xfId="0" applyFont="1" applyAlignment="1">
      <alignment horizontal="right"/>
    </xf>
    <xf numFmtId="0" fontId="30" fillId="4" borderId="7" xfId="0" applyFont="1" applyFill="1" applyBorder="1" applyAlignment="1">
      <alignment horizontal="left"/>
    </xf>
    <xf numFmtId="0" fontId="30" fillId="4" borderId="7" xfId="0" applyFont="1" applyFill="1" applyBorder="1" applyAlignment="1">
      <alignment horizontal="right"/>
    </xf>
    <xf numFmtId="0" fontId="30" fillId="4" borderId="0" xfId="0" applyFont="1" applyFill="1" applyBorder="1" applyAlignment="1">
      <alignment horizontal="center"/>
    </xf>
    <xf numFmtId="0" fontId="31" fillId="4" borderId="0" xfId="0" applyFont="1" applyFill="1" applyBorder="1"/>
    <xf numFmtId="0" fontId="31" fillId="0" borderId="0" xfId="0" applyFont="1" applyFill="1" applyBorder="1"/>
    <xf numFmtId="0" fontId="14" fillId="4" borderId="0" xfId="0" applyFont="1" applyFill="1" applyBorder="1"/>
    <xf numFmtId="165" fontId="32" fillId="4" borderId="0" xfId="0" applyNumberFormat="1" applyFont="1" applyFill="1" applyBorder="1" applyAlignment="1">
      <alignment horizontal="center"/>
    </xf>
    <xf numFmtId="0" fontId="26" fillId="6" borderId="0" xfId="0" applyFont="1" applyFill="1"/>
    <xf numFmtId="165" fontId="26" fillId="6" borderId="0" xfId="0" applyNumberFormat="1" applyFont="1" applyFill="1"/>
    <xf numFmtId="167" fontId="7" fillId="5" borderId="0" xfId="0" applyNumberFormat="1" applyFont="1" applyFill="1" applyBorder="1" applyAlignment="1">
      <alignment horizontal="center"/>
    </xf>
    <xf numFmtId="165" fontId="19" fillId="4" borderId="0" xfId="0" applyNumberFormat="1" applyFont="1" applyFill="1" applyAlignment="1">
      <alignment horizontal="center"/>
    </xf>
    <xf numFmtId="0" fontId="37" fillId="0" borderId="0" xfId="5" applyFont="1"/>
    <xf numFmtId="0" fontId="38" fillId="0" borderId="0" xfId="5" applyFont="1" applyAlignment="1">
      <alignment horizontal="center"/>
    </xf>
    <xf numFmtId="0" fontId="40" fillId="0" borderId="0" xfId="5" applyFont="1" applyBorder="1" applyAlignment="1">
      <alignment horizontal="center"/>
    </xf>
    <xf numFmtId="0" fontId="38" fillId="0" borderId="18" xfId="5" applyFont="1" applyBorder="1" applyAlignment="1">
      <alignment horizontal="center"/>
    </xf>
    <xf numFmtId="0" fontId="38" fillId="0" borderId="0" xfId="5" applyFont="1"/>
    <xf numFmtId="0" fontId="37" fillId="0" borderId="0" xfId="5" applyFont="1" applyAlignment="1">
      <alignment horizontal="center"/>
    </xf>
    <xf numFmtId="171" fontId="35" fillId="0" borderId="0" xfId="5" applyNumberFormat="1" applyFont="1" applyAlignment="1">
      <alignment horizontal="center" vertical="center"/>
    </xf>
    <xf numFmtId="171" fontId="38" fillId="0" borderId="0" xfId="5" applyNumberFormat="1" applyFont="1" applyAlignment="1">
      <alignment horizontal="center" vertical="center"/>
    </xf>
    <xf numFmtId="0" fontId="37" fillId="0" borderId="19" xfId="5" applyFont="1" applyBorder="1"/>
    <xf numFmtId="9" fontId="37" fillId="0" borderId="19" xfId="5" applyNumberFormat="1" applyFont="1" applyBorder="1"/>
    <xf numFmtId="9" fontId="37" fillId="12" borderId="19" xfId="5" applyNumberFormat="1" applyFont="1" applyFill="1" applyBorder="1"/>
    <xf numFmtId="9" fontId="37" fillId="0" borderId="19" xfId="5" applyNumberFormat="1" applyFont="1" applyFill="1" applyBorder="1"/>
    <xf numFmtId="9" fontId="37" fillId="0" borderId="19" xfId="5" applyNumberFormat="1" applyFont="1" applyBorder="1" applyAlignment="1">
      <alignment horizontal="center"/>
    </xf>
    <xf numFmtId="9" fontId="41" fillId="0" borderId="0" xfId="5" applyNumberFormat="1" applyFont="1"/>
    <xf numFmtId="0" fontId="41" fillId="0" borderId="0" xfId="5" applyFont="1"/>
    <xf numFmtId="170" fontId="37" fillId="0" borderId="19" xfId="5" applyNumberFormat="1" applyFont="1" applyFill="1" applyBorder="1"/>
    <xf numFmtId="171" fontId="38" fillId="0" borderId="0" xfId="5" applyNumberFormat="1" applyFont="1" applyAlignment="1">
      <alignment horizontal="center"/>
    </xf>
    <xf numFmtId="9" fontId="37" fillId="0" borderId="22" xfId="5" applyNumberFormat="1" applyFont="1" applyBorder="1"/>
    <xf numFmtId="9" fontId="37" fillId="12" borderId="22" xfId="5" applyNumberFormat="1" applyFont="1" applyFill="1" applyBorder="1"/>
    <xf numFmtId="9" fontId="37" fillId="0" borderId="22" xfId="5" applyNumberFormat="1" applyFont="1" applyFill="1" applyBorder="1" applyAlignment="1">
      <alignment horizontal="center"/>
    </xf>
    <xf numFmtId="9" fontId="37" fillId="0" borderId="22" xfId="5" applyNumberFormat="1" applyFont="1" applyBorder="1" applyAlignment="1">
      <alignment horizontal="center"/>
    </xf>
    <xf numFmtId="170" fontId="38" fillId="0" borderId="23" xfId="5" applyNumberFormat="1" applyFont="1" applyFill="1" applyBorder="1" applyAlignment="1">
      <alignment horizontal="center"/>
    </xf>
    <xf numFmtId="0" fontId="37" fillId="0" borderId="24" xfId="5" applyFont="1" applyFill="1" applyBorder="1"/>
    <xf numFmtId="0" fontId="37" fillId="0" borderId="23" xfId="5" applyFont="1" applyFill="1" applyBorder="1"/>
    <xf numFmtId="0" fontId="37" fillId="0" borderId="25" xfId="5" applyFont="1" applyFill="1" applyBorder="1"/>
    <xf numFmtId="0" fontId="37" fillId="0" borderId="19" xfId="5" applyFont="1" applyFill="1" applyBorder="1"/>
    <xf numFmtId="0" fontId="38" fillId="0" borderId="0" xfId="5" applyFont="1" applyFill="1" applyBorder="1" applyAlignment="1">
      <alignment horizontal="center" vertical="center" wrapText="1"/>
    </xf>
    <xf numFmtId="9" fontId="37" fillId="0" borderId="23" xfId="5" applyNumberFormat="1" applyFont="1" applyBorder="1"/>
    <xf numFmtId="9" fontId="37" fillId="0" borderId="23" xfId="5" applyNumberFormat="1" applyFont="1" applyFill="1" applyBorder="1" applyAlignment="1">
      <alignment horizontal="center"/>
    </xf>
    <xf numFmtId="9" fontId="37" fillId="0" borderId="23" xfId="5" applyNumberFormat="1" applyFont="1" applyBorder="1" applyAlignment="1">
      <alignment horizontal="center"/>
    </xf>
    <xf numFmtId="9" fontId="37" fillId="0" borderId="27" xfId="5" applyNumberFormat="1" applyFont="1" applyBorder="1"/>
    <xf numFmtId="9" fontId="37" fillId="12" borderId="27" xfId="5" applyNumberFormat="1" applyFont="1" applyFill="1" applyBorder="1"/>
    <xf numFmtId="9" fontId="37" fillId="0" borderId="27" xfId="5" applyNumberFormat="1" applyFont="1" applyBorder="1" applyAlignment="1">
      <alignment horizontal="center"/>
    </xf>
    <xf numFmtId="9" fontId="37" fillId="0" borderId="27" xfId="5" applyNumberFormat="1" applyFont="1" applyFill="1" applyBorder="1" applyAlignment="1">
      <alignment horizontal="center"/>
    </xf>
    <xf numFmtId="9" fontId="37" fillId="12" borderId="23" xfId="5" applyNumberFormat="1" applyFont="1" applyFill="1" applyBorder="1" applyAlignment="1">
      <alignment horizontal="center"/>
    </xf>
    <xf numFmtId="9" fontId="37" fillId="0" borderId="25" xfId="5" applyNumberFormat="1" applyFont="1" applyFill="1" applyBorder="1" applyAlignment="1">
      <alignment horizontal="center"/>
    </xf>
    <xf numFmtId="9" fontId="37" fillId="0" borderId="19" xfId="5" applyNumberFormat="1" applyFont="1" applyFill="1" applyBorder="1" applyAlignment="1">
      <alignment horizontal="center"/>
    </xf>
    <xf numFmtId="9" fontId="37" fillId="12" borderId="22" xfId="5" applyNumberFormat="1" applyFont="1" applyFill="1" applyBorder="1" applyAlignment="1">
      <alignment horizontal="center"/>
    </xf>
    <xf numFmtId="174" fontId="37" fillId="0" borderId="28" xfId="5" applyNumberFormat="1" applyFont="1" applyFill="1" applyBorder="1"/>
    <xf numFmtId="174" fontId="37" fillId="0" borderId="25" xfId="5" applyNumberFormat="1" applyFont="1" applyFill="1" applyBorder="1"/>
    <xf numFmtId="174" fontId="37" fillId="0" borderId="24" xfId="5" applyNumberFormat="1" applyFont="1" applyFill="1" applyBorder="1"/>
    <xf numFmtId="9" fontId="37" fillId="0" borderId="23" xfId="5" applyNumberFormat="1" applyFont="1" applyBorder="1" applyAlignment="1">
      <alignment horizontal="center" vertical="center"/>
    </xf>
    <xf numFmtId="9" fontId="37" fillId="12" borderId="23" xfId="5" applyNumberFormat="1" applyFont="1" applyFill="1" applyBorder="1" applyAlignment="1">
      <alignment horizontal="center" vertical="center"/>
    </xf>
    <xf numFmtId="9" fontId="37" fillId="0" borderId="23" xfId="5" applyNumberFormat="1" applyFont="1" applyFill="1" applyBorder="1" applyAlignment="1">
      <alignment horizontal="center" vertical="center"/>
    </xf>
    <xf numFmtId="170" fontId="38" fillId="5" borderId="23" xfId="5" applyNumberFormat="1" applyFont="1" applyFill="1" applyBorder="1" applyAlignment="1">
      <alignment horizontal="center"/>
    </xf>
    <xf numFmtId="9" fontId="37" fillId="0" borderId="24" xfId="5" applyNumberFormat="1" applyFont="1" applyFill="1" applyBorder="1" applyAlignment="1">
      <alignment horizontal="center" vertical="center"/>
    </xf>
    <xf numFmtId="9" fontId="37" fillId="0" borderId="25" xfId="5" applyNumberFormat="1" applyFont="1" applyFill="1" applyBorder="1" applyAlignment="1">
      <alignment horizontal="center" vertical="center"/>
    </xf>
    <xf numFmtId="9" fontId="37" fillId="0" borderId="19" xfId="5" applyNumberFormat="1" applyFont="1" applyFill="1" applyBorder="1" applyAlignment="1">
      <alignment horizontal="center" vertical="center"/>
    </xf>
    <xf numFmtId="9" fontId="37" fillId="0" borderId="22" xfId="5" applyNumberFormat="1" applyFont="1" applyFill="1" applyBorder="1" applyAlignment="1">
      <alignment horizontal="center" vertical="center"/>
    </xf>
    <xf numFmtId="9" fontId="37" fillId="0" borderId="0" xfId="5" applyNumberFormat="1" applyFont="1" applyFill="1" applyBorder="1" applyAlignment="1">
      <alignment horizontal="center" vertical="center"/>
    </xf>
    <xf numFmtId="9" fontId="37" fillId="0" borderId="29" xfId="5" applyNumberFormat="1" applyFont="1" applyFill="1" applyBorder="1" applyAlignment="1">
      <alignment horizontal="center" vertical="center"/>
    </xf>
    <xf numFmtId="0" fontId="38" fillId="0" borderId="0" xfId="5" applyFont="1" applyFill="1" applyBorder="1" applyAlignment="1">
      <alignment horizontal="center" vertical="center" textRotation="60"/>
    </xf>
    <xf numFmtId="170" fontId="37" fillId="0" borderId="24" xfId="5" applyNumberFormat="1" applyFont="1" applyFill="1" applyBorder="1"/>
    <xf numFmtId="0" fontId="37" fillId="0" borderId="27" xfId="5" applyFont="1" applyFill="1" applyBorder="1"/>
    <xf numFmtId="174" fontId="37" fillId="0" borderId="30" xfId="5" applyNumberFormat="1" applyFont="1" applyFill="1" applyBorder="1"/>
    <xf numFmtId="174" fontId="37" fillId="0" borderId="19" xfId="5" applyNumberFormat="1" applyFont="1" applyFill="1" applyBorder="1"/>
    <xf numFmtId="9" fontId="37" fillId="12" borderId="25" xfId="5" applyNumberFormat="1" applyFont="1" applyFill="1" applyBorder="1" applyAlignment="1">
      <alignment horizontal="center" vertical="center"/>
    </xf>
    <xf numFmtId="0" fontId="41" fillId="0" borderId="19" xfId="5" applyFont="1" applyFill="1" applyBorder="1"/>
    <xf numFmtId="0" fontId="38" fillId="0" borderId="0" xfId="5" applyFont="1" applyFill="1" applyBorder="1" applyAlignment="1">
      <alignment horizontal="center" vertical="center"/>
    </xf>
    <xf numFmtId="9" fontId="37" fillId="0" borderId="27" xfId="5" applyNumberFormat="1" applyFont="1" applyFill="1" applyBorder="1" applyAlignment="1">
      <alignment horizontal="center" vertical="center"/>
    </xf>
    <xf numFmtId="9" fontId="37" fillId="12" borderId="19" xfId="5" applyNumberFormat="1" applyFont="1" applyFill="1" applyBorder="1" applyAlignment="1">
      <alignment horizontal="center" vertical="center"/>
    </xf>
    <xf numFmtId="9" fontId="37" fillId="0" borderId="22" xfId="5" applyNumberFormat="1" applyFont="1" applyBorder="1" applyAlignment="1">
      <alignment horizontal="center" vertical="center"/>
    </xf>
    <xf numFmtId="9" fontId="37" fillId="12" borderId="22" xfId="5" applyNumberFormat="1" applyFont="1" applyFill="1" applyBorder="1" applyAlignment="1">
      <alignment horizontal="center" vertical="center"/>
    </xf>
    <xf numFmtId="0" fontId="37" fillId="0" borderId="22" xfId="5" applyFont="1" applyFill="1" applyBorder="1"/>
    <xf numFmtId="9" fontId="37" fillId="0" borderId="27" xfId="5" applyNumberFormat="1" applyFont="1" applyBorder="1" applyAlignment="1">
      <alignment horizontal="center" vertical="center"/>
    </xf>
    <xf numFmtId="9" fontId="37" fillId="12" borderId="27" xfId="5" applyNumberFormat="1" applyFont="1" applyFill="1" applyBorder="1" applyAlignment="1">
      <alignment horizontal="center" vertical="center"/>
    </xf>
    <xf numFmtId="9" fontId="37" fillId="0" borderId="0" xfId="5" applyNumberFormat="1" applyFont="1" applyAlignment="1">
      <alignment horizontal="center"/>
    </xf>
    <xf numFmtId="170" fontId="38" fillId="0" borderId="27" xfId="5" applyNumberFormat="1" applyFont="1" applyBorder="1" applyAlignment="1">
      <alignment horizontal="center"/>
    </xf>
    <xf numFmtId="0" fontId="37" fillId="0" borderId="24" xfId="5" applyFont="1" applyBorder="1"/>
    <xf numFmtId="174" fontId="37" fillId="0" borderId="35" xfId="5" applyNumberFormat="1" applyFont="1" applyBorder="1"/>
    <xf numFmtId="0" fontId="38" fillId="0" borderId="0" xfId="5" applyFont="1" applyBorder="1" applyAlignment="1">
      <alignment horizontal="center" vertical="center" wrapText="1"/>
    </xf>
    <xf numFmtId="9" fontId="37" fillId="0" borderId="30" xfId="5" applyNumberFormat="1" applyFont="1" applyBorder="1" applyAlignment="1">
      <alignment horizontal="center" vertical="center"/>
    </xf>
    <xf numFmtId="170" fontId="38" fillId="0" borderId="36" xfId="5" applyNumberFormat="1" applyFont="1" applyBorder="1" applyAlignment="1">
      <alignment horizontal="center"/>
    </xf>
    <xf numFmtId="0" fontId="37" fillId="0" borderId="36" xfId="5" applyFont="1" applyBorder="1"/>
    <xf numFmtId="174" fontId="37" fillId="0" borderId="37" xfId="5" applyNumberFormat="1" applyFont="1" applyBorder="1"/>
    <xf numFmtId="9" fontId="37" fillId="0" borderId="30" xfId="5" applyNumberFormat="1" applyFont="1" applyFill="1" applyBorder="1" applyAlignment="1">
      <alignment horizontal="center" vertical="center"/>
    </xf>
    <xf numFmtId="170" fontId="42" fillId="0" borderId="36" xfId="5" applyNumberFormat="1" applyFont="1" applyBorder="1" applyAlignment="1">
      <alignment horizontal="center"/>
    </xf>
    <xf numFmtId="0" fontId="43" fillId="0" borderId="19" xfId="5" applyFont="1" applyBorder="1"/>
    <xf numFmtId="9" fontId="37" fillId="12" borderId="30" xfId="5" applyNumberFormat="1" applyFont="1" applyFill="1" applyBorder="1" applyAlignment="1">
      <alignment horizontal="center" vertical="center"/>
    </xf>
    <xf numFmtId="170" fontId="44" fillId="0" borderId="36" xfId="5" applyNumberFormat="1" applyFont="1" applyBorder="1" applyAlignment="1">
      <alignment horizontal="center"/>
    </xf>
    <xf numFmtId="0" fontId="41" fillId="0" borderId="0" xfId="5" applyFont="1" applyBorder="1" applyAlignment="1">
      <alignment horizontal="center" vertical="center" wrapText="1"/>
    </xf>
    <xf numFmtId="0" fontId="45" fillId="0" borderId="0" xfId="5" applyFont="1" applyBorder="1" applyAlignment="1">
      <alignment horizontal="center" vertical="center" wrapText="1"/>
    </xf>
    <xf numFmtId="9" fontId="46" fillId="0" borderId="27" xfId="5" applyNumberFormat="1" applyFont="1" applyFill="1" applyBorder="1" applyAlignment="1">
      <alignment horizontal="center" vertical="center"/>
    </xf>
    <xf numFmtId="9" fontId="37" fillId="0" borderId="20" xfId="5" applyNumberFormat="1" applyFont="1" applyFill="1" applyBorder="1" applyAlignment="1">
      <alignment horizontal="center" vertical="center"/>
    </xf>
    <xf numFmtId="9" fontId="37" fillId="0" borderId="38" xfId="5" applyNumberFormat="1" applyFont="1" applyFill="1" applyBorder="1" applyAlignment="1">
      <alignment horizontal="center" vertical="center"/>
    </xf>
    <xf numFmtId="170" fontId="44" fillId="0" borderId="34" xfId="5" applyNumberFormat="1" applyFont="1" applyBorder="1" applyAlignment="1">
      <alignment horizontal="center"/>
    </xf>
    <xf numFmtId="0" fontId="38" fillId="0" borderId="0" xfId="5" applyFont="1" applyBorder="1" applyAlignment="1">
      <alignment horizontal="center" vertical="center"/>
    </xf>
    <xf numFmtId="17" fontId="38" fillId="5" borderId="39" xfId="5" applyNumberFormat="1" applyFont="1" applyFill="1" applyBorder="1" applyAlignment="1">
      <alignment horizontal="center" vertical="center"/>
    </xf>
    <xf numFmtId="0" fontId="38" fillId="0" borderId="19" xfId="5" applyFont="1" applyBorder="1" applyAlignment="1">
      <alignment horizontal="center"/>
    </xf>
    <xf numFmtId="0" fontId="37" fillId="0" borderId="40" xfId="5" applyFont="1" applyBorder="1" applyAlignment="1">
      <alignment horizontal="center"/>
    </xf>
    <xf numFmtId="0" fontId="37" fillId="0" borderId="18" xfId="5" applyFont="1" applyBorder="1" applyAlignment="1">
      <alignment horizontal="center"/>
    </xf>
    <xf numFmtId="0" fontId="37" fillId="0" borderId="0" xfId="5" applyFont="1" applyBorder="1" applyAlignment="1">
      <alignment horizontal="center"/>
    </xf>
    <xf numFmtId="0" fontId="38" fillId="0" borderId="0" xfId="5" applyFont="1" applyAlignment="1">
      <alignment horizontal="center" vertical="center"/>
    </xf>
    <xf numFmtId="0" fontId="38" fillId="13" borderId="0" xfId="5" applyFont="1" applyFill="1" applyBorder="1" applyAlignment="1">
      <alignment horizontal="center"/>
    </xf>
    <xf numFmtId="175" fontId="0" fillId="0" borderId="0" xfId="6" applyFont="1"/>
    <xf numFmtId="10" fontId="0" fillId="0" borderId="0" xfId="4" applyNumberFormat="1" applyFont="1"/>
    <xf numFmtId="176" fontId="0" fillId="0" borderId="0" xfId="6" applyNumberFormat="1" applyFont="1"/>
    <xf numFmtId="0" fontId="0" fillId="0" borderId="0" xfId="0" applyAlignment="1">
      <alignment horizontal="center" vertical="center" wrapText="1"/>
    </xf>
    <xf numFmtId="14" fontId="0" fillId="0" borderId="0" xfId="0" applyNumberFormat="1"/>
    <xf numFmtId="177" fontId="0" fillId="0" borderId="0" xfId="0" applyNumberFormat="1"/>
    <xf numFmtId="0" fontId="9" fillId="5" borderId="3" xfId="0" applyFont="1" applyFill="1" applyBorder="1" applyAlignment="1">
      <alignment horizontal="center" vertical="center" wrapText="1"/>
    </xf>
    <xf numFmtId="0" fontId="7" fillId="5" borderId="3" xfId="0" applyFont="1" applyFill="1" applyBorder="1"/>
    <xf numFmtId="165" fontId="7" fillId="5" borderId="3" xfId="0" applyNumberFormat="1" applyFont="1" applyFill="1" applyBorder="1" applyAlignment="1">
      <alignment horizontal="center"/>
    </xf>
    <xf numFmtId="14" fontId="0" fillId="0" borderId="44" xfId="0" applyNumberFormat="1" applyBorder="1"/>
    <xf numFmtId="177" fontId="0" fillId="0" borderId="0" xfId="0" applyNumberFormat="1" applyBorder="1"/>
    <xf numFmtId="14" fontId="0" fillId="0" borderId="0" xfId="0" applyNumberFormat="1" applyBorder="1"/>
    <xf numFmtId="14" fontId="0" fillId="0" borderId="45" xfId="0" applyNumberFormat="1" applyBorder="1"/>
    <xf numFmtId="165" fontId="21" fillId="5" borderId="0" xfId="0" applyNumberFormat="1" applyFont="1" applyFill="1" applyBorder="1" applyAlignment="1">
      <alignment horizontal="center"/>
    </xf>
    <xf numFmtId="0" fontId="9" fillId="5" borderId="3" xfId="0" applyFont="1" applyFill="1" applyBorder="1" applyAlignment="1">
      <alignment horizontal="left" vertical="center" wrapText="1"/>
    </xf>
    <xf numFmtId="0" fontId="48" fillId="0" borderId="0" xfId="5" applyFont="1" applyBorder="1" applyAlignment="1">
      <alignment horizontal="center"/>
    </xf>
    <xf numFmtId="0" fontId="49" fillId="0" borderId="0" xfId="5" applyFont="1" applyBorder="1" applyAlignment="1">
      <alignment horizontal="center"/>
    </xf>
    <xf numFmtId="0" fontId="48" fillId="0" borderId="0" xfId="5" applyFont="1" applyFill="1" applyBorder="1" applyAlignment="1">
      <alignment horizontal="center"/>
    </xf>
    <xf numFmtId="0" fontId="48" fillId="0" borderId="31" xfId="5" applyFont="1" applyFill="1" applyBorder="1" applyAlignment="1">
      <alignment horizontal="center"/>
    </xf>
    <xf numFmtId="0" fontId="48" fillId="0" borderId="19" xfId="5" applyFont="1" applyFill="1" applyBorder="1" applyAlignment="1">
      <alignment horizontal="center"/>
    </xf>
    <xf numFmtId="0" fontId="50" fillId="0" borderId="19" xfId="5" applyFont="1" applyFill="1" applyBorder="1" applyAlignment="1">
      <alignment horizontal="center"/>
    </xf>
    <xf numFmtId="0" fontId="48" fillId="0" borderId="0" xfId="5" applyFont="1" applyAlignment="1">
      <alignment horizontal="center"/>
    </xf>
    <xf numFmtId="0" fontId="50" fillId="0" borderId="0" xfId="5" applyFont="1" applyAlignment="1">
      <alignment horizontal="center"/>
    </xf>
    <xf numFmtId="170" fontId="37" fillId="0" borderId="25" xfId="5" applyNumberFormat="1" applyFont="1" applyFill="1" applyBorder="1"/>
    <xf numFmtId="170" fontId="37" fillId="0" borderId="33" xfId="5" applyNumberFormat="1" applyFont="1" applyFill="1" applyBorder="1"/>
    <xf numFmtId="170" fontId="37" fillId="0" borderId="31" xfId="5" applyNumberFormat="1" applyFont="1" applyFill="1" applyBorder="1"/>
    <xf numFmtId="171" fontId="37" fillId="0" borderId="24" xfId="5" applyNumberFormat="1" applyFont="1" applyFill="1" applyBorder="1"/>
    <xf numFmtId="171" fontId="37" fillId="0" borderId="28" xfId="5" applyNumberFormat="1" applyFont="1" applyFill="1" applyBorder="1"/>
    <xf numFmtId="171" fontId="37" fillId="0" borderId="19" xfId="5" applyNumberFormat="1" applyFont="1" applyFill="1" applyBorder="1"/>
    <xf numFmtId="170" fontId="41" fillId="0" borderId="0" xfId="5" applyNumberFormat="1" applyFont="1" applyAlignment="1">
      <alignment horizontal="center"/>
    </xf>
    <xf numFmtId="170" fontId="38" fillId="5" borderId="19" xfId="5" applyNumberFormat="1" applyFont="1" applyFill="1" applyBorder="1" applyAlignment="1">
      <alignment horizontal="center"/>
    </xf>
    <xf numFmtId="0" fontId="37" fillId="5" borderId="19" xfId="5" applyFont="1" applyFill="1" applyBorder="1"/>
    <xf numFmtId="0" fontId="48" fillId="5" borderId="0" xfId="5" applyFont="1" applyFill="1" applyBorder="1" applyAlignment="1">
      <alignment horizontal="center"/>
    </xf>
    <xf numFmtId="0" fontId="37" fillId="5" borderId="25" xfId="5" applyFont="1" applyFill="1" applyBorder="1"/>
    <xf numFmtId="0" fontId="37" fillId="5" borderId="23" xfId="5" applyFont="1" applyFill="1" applyBorder="1"/>
    <xf numFmtId="0" fontId="37" fillId="5" borderId="24" xfId="5" applyFont="1" applyFill="1" applyBorder="1"/>
    <xf numFmtId="170" fontId="38" fillId="5" borderId="36" xfId="5" applyNumberFormat="1" applyFont="1" applyFill="1" applyBorder="1" applyAlignment="1">
      <alignment horizontal="center"/>
    </xf>
    <xf numFmtId="9" fontId="37" fillId="12" borderId="24" xfId="5" applyNumberFormat="1" applyFont="1" applyFill="1" applyBorder="1" applyAlignment="1">
      <alignment horizontal="center" vertical="center"/>
    </xf>
    <xf numFmtId="9" fontId="37" fillId="12" borderId="29" xfId="5" applyNumberFormat="1" applyFont="1" applyFill="1" applyBorder="1" applyAlignment="1">
      <alignment horizontal="center" vertical="center"/>
    </xf>
    <xf numFmtId="9" fontId="37" fillId="0" borderId="0" xfId="5" applyNumberFormat="1" applyFont="1" applyBorder="1"/>
    <xf numFmtId="9" fontId="37" fillId="0" borderId="0" xfId="5" applyNumberFormat="1" applyFont="1" applyBorder="1" applyAlignment="1">
      <alignment horizontal="center"/>
    </xf>
    <xf numFmtId="9" fontId="37" fillId="0" borderId="0" xfId="5" applyNumberFormat="1" applyFont="1" applyFill="1" applyBorder="1" applyAlignment="1">
      <alignment horizontal="center"/>
    </xf>
    <xf numFmtId="170" fontId="38" fillId="5" borderId="0" xfId="5" applyNumberFormat="1" applyFont="1" applyFill="1" applyBorder="1" applyAlignment="1">
      <alignment horizontal="center"/>
    </xf>
    <xf numFmtId="0" fontId="38" fillId="5" borderId="0" xfId="5" applyFont="1" applyFill="1" applyBorder="1"/>
    <xf numFmtId="0" fontId="51" fillId="5" borderId="0" xfId="5" applyFont="1" applyFill="1" applyBorder="1" applyAlignment="1">
      <alignment horizontal="center"/>
    </xf>
    <xf numFmtId="0" fontId="52" fillId="0" borderId="0" xfId="5" applyFont="1" applyAlignment="1">
      <alignment horizontal="center"/>
    </xf>
    <xf numFmtId="0" fontId="38" fillId="0" borderId="0" xfId="5" applyFont="1" applyAlignment="1">
      <alignment horizontal="right"/>
    </xf>
    <xf numFmtId="9" fontId="37" fillId="0" borderId="25" xfId="5" applyNumberFormat="1" applyFont="1" applyBorder="1"/>
    <xf numFmtId="9" fontId="37" fillId="0" borderId="26" xfId="5" applyNumberFormat="1" applyFont="1" applyFill="1" applyBorder="1" applyAlignment="1">
      <alignment horizontal="center"/>
    </xf>
    <xf numFmtId="9" fontId="37" fillId="0" borderId="21" xfId="5" applyNumberFormat="1" applyFont="1" applyFill="1" applyBorder="1" applyAlignment="1">
      <alignment horizontal="center"/>
    </xf>
    <xf numFmtId="170" fontId="37" fillId="0" borderId="32" xfId="5" applyNumberFormat="1" applyFont="1" applyFill="1" applyBorder="1"/>
    <xf numFmtId="9" fontId="37" fillId="0" borderId="33" xfId="5" applyNumberFormat="1" applyFont="1" applyBorder="1"/>
    <xf numFmtId="0" fontId="37" fillId="0" borderId="31" xfId="5" applyFont="1" applyBorder="1"/>
    <xf numFmtId="0" fontId="37" fillId="17" borderId="19" xfId="5" applyFont="1" applyFill="1" applyBorder="1"/>
    <xf numFmtId="174" fontId="37" fillId="17" borderId="25" xfId="5" applyNumberFormat="1" applyFont="1" applyFill="1" applyBorder="1"/>
    <xf numFmtId="0" fontId="37" fillId="17" borderId="23" xfId="5" applyFont="1" applyFill="1" applyBorder="1"/>
    <xf numFmtId="0" fontId="37" fillId="17" borderId="24" xfId="5" applyFont="1" applyFill="1" applyBorder="1"/>
    <xf numFmtId="0" fontId="52" fillId="17" borderId="0" xfId="5" applyFont="1" applyFill="1" applyBorder="1" applyAlignment="1">
      <alignment horizontal="center"/>
    </xf>
    <xf numFmtId="168" fontId="26" fillId="0" borderId="0" xfId="0" applyNumberFormat="1" applyFont="1" applyAlignment="1">
      <alignment horizontal="center"/>
    </xf>
    <xf numFmtId="168" fontId="26" fillId="0" borderId="0" xfId="0" applyNumberFormat="1" applyFont="1"/>
    <xf numFmtId="10" fontId="17" fillId="5" borderId="3" xfId="0" applyNumberFormat="1" applyFont="1" applyFill="1" applyBorder="1" applyAlignment="1">
      <alignment horizontal="center"/>
    </xf>
    <xf numFmtId="9" fontId="7" fillId="5" borderId="0" xfId="4" applyFont="1" applyFill="1" applyAlignment="1">
      <alignment horizontal="center"/>
    </xf>
    <xf numFmtId="10" fontId="16" fillId="4" borderId="0" xfId="0" applyNumberFormat="1" applyFont="1" applyFill="1" applyBorder="1" applyAlignment="1">
      <alignment horizontal="center"/>
    </xf>
    <xf numFmtId="165" fontId="19" fillId="4" borderId="0" xfId="0" applyNumberFormat="1" applyFont="1" applyFill="1" applyAlignment="1">
      <alignment horizontal="left"/>
    </xf>
    <xf numFmtId="165" fontId="20" fillId="4" borderId="0" xfId="0" applyNumberFormat="1" applyFont="1" applyFill="1" applyAlignment="1">
      <alignment horizontal="left"/>
    </xf>
    <xf numFmtId="0" fontId="5" fillId="5" borderId="0" xfId="0" applyFont="1" applyFill="1" applyAlignment="1">
      <alignment horizontal="center"/>
    </xf>
    <xf numFmtId="8" fontId="37" fillId="0" borderId="24" xfId="5" applyNumberFormat="1" applyFont="1" applyFill="1" applyBorder="1"/>
    <xf numFmtId="8" fontId="38" fillId="0" borderId="23" xfId="5" applyNumberFormat="1" applyFont="1" applyFill="1" applyBorder="1" applyAlignment="1">
      <alignment horizontal="center"/>
    </xf>
    <xf numFmtId="38" fontId="37" fillId="0" borderId="23" xfId="5" applyNumberFormat="1" applyFont="1" applyFill="1" applyBorder="1"/>
    <xf numFmtId="0" fontId="38" fillId="5" borderId="0" xfId="5" applyFont="1" applyFill="1" applyBorder="1" applyAlignment="1">
      <alignment horizontal="center" vertical="center" wrapText="1"/>
    </xf>
    <xf numFmtId="0" fontId="38" fillId="5" borderId="0" xfId="5" applyFont="1" applyFill="1" applyBorder="1" applyAlignment="1">
      <alignment horizontal="center" vertical="center"/>
    </xf>
    <xf numFmtId="17" fontId="48" fillId="0" borderId="8" xfId="5" applyNumberFormat="1" applyFont="1" applyFill="1" applyBorder="1" applyAlignment="1">
      <alignment vertical="center" wrapText="1"/>
    </xf>
    <xf numFmtId="9" fontId="37" fillId="0" borderId="34" xfId="5" applyNumberFormat="1" applyFont="1" applyBorder="1" applyAlignment="1">
      <alignment horizontal="center" vertical="center"/>
    </xf>
    <xf numFmtId="9" fontId="37" fillId="0" borderId="26" xfId="5" applyNumberFormat="1" applyFont="1" applyBorder="1" applyAlignment="1">
      <alignment horizontal="center" vertical="center"/>
    </xf>
    <xf numFmtId="9" fontId="37" fillId="0" borderId="26" xfId="5" applyNumberFormat="1" applyFont="1" applyBorder="1"/>
    <xf numFmtId="17" fontId="38" fillId="0" borderId="22" xfId="5" applyNumberFormat="1" applyFont="1" applyFill="1" applyBorder="1" applyAlignment="1">
      <alignment horizontal="center" vertical="center"/>
    </xf>
    <xf numFmtId="9" fontId="37" fillId="0" borderId="21" xfId="5" applyNumberFormat="1" applyFont="1" applyBorder="1"/>
    <xf numFmtId="9" fontId="37" fillId="0" borderId="32" xfId="5" applyNumberFormat="1" applyFont="1" applyBorder="1"/>
    <xf numFmtId="17" fontId="48" fillId="0" borderId="0" xfId="5" applyNumberFormat="1" applyFont="1" applyFill="1" applyBorder="1" applyAlignment="1">
      <alignment horizontal="right"/>
    </xf>
    <xf numFmtId="10" fontId="2" fillId="4" borderId="0" xfId="0" applyNumberFormat="1" applyFont="1" applyFill="1" applyBorder="1" applyAlignment="1">
      <alignment horizontal="center"/>
    </xf>
    <xf numFmtId="170" fontId="38" fillId="5" borderId="0" xfId="5" applyNumberFormat="1" applyFont="1" applyFill="1" applyBorder="1" applyAlignment="1">
      <alignment horizontal="center" vertical="center" wrapText="1"/>
    </xf>
    <xf numFmtId="173" fontId="37" fillId="5" borderId="0" xfId="5" applyNumberFormat="1" applyFont="1" applyFill="1"/>
    <xf numFmtId="0" fontId="37" fillId="5" borderId="0" xfId="5" applyFont="1" applyFill="1"/>
    <xf numFmtId="0" fontId="38" fillId="5" borderId="19" xfId="5" applyFont="1" applyFill="1" applyBorder="1"/>
    <xf numFmtId="17" fontId="38" fillId="7" borderId="39" xfId="5" applyNumberFormat="1" applyFont="1" applyFill="1" applyBorder="1" applyAlignment="1">
      <alignment horizontal="center" vertical="center"/>
    </xf>
    <xf numFmtId="17" fontId="38" fillId="7" borderId="22" xfId="5" applyNumberFormat="1" applyFont="1" applyFill="1" applyBorder="1" applyAlignment="1">
      <alignment horizontal="center" vertical="center"/>
    </xf>
    <xf numFmtId="17" fontId="38" fillId="0" borderId="33" xfId="5" applyNumberFormat="1" applyFont="1" applyFill="1" applyBorder="1" applyAlignment="1">
      <alignment horizontal="center" vertical="center"/>
    </xf>
    <xf numFmtId="17" fontId="38" fillId="7" borderId="46" xfId="5" applyNumberFormat="1" applyFont="1" applyFill="1" applyBorder="1" applyAlignment="1">
      <alignment horizontal="center" vertical="center"/>
    </xf>
    <xf numFmtId="0" fontId="37" fillId="0" borderId="47" xfId="5" applyFont="1" applyBorder="1"/>
    <xf numFmtId="0" fontId="37" fillId="0" borderId="32" xfId="5" applyFont="1" applyBorder="1"/>
    <xf numFmtId="0" fontId="37" fillId="0" borderId="49" xfId="5" applyFont="1" applyBorder="1"/>
    <xf numFmtId="17" fontId="38" fillId="7" borderId="21" xfId="5" applyNumberFormat="1" applyFont="1" applyFill="1" applyBorder="1" applyAlignment="1">
      <alignment horizontal="center" vertical="center"/>
    </xf>
    <xf numFmtId="9" fontId="37" fillId="12" borderId="32" xfId="5" applyNumberFormat="1" applyFont="1" applyFill="1" applyBorder="1"/>
    <xf numFmtId="17" fontId="38" fillId="7" borderId="19" xfId="5" applyNumberFormat="1" applyFont="1" applyFill="1" applyBorder="1" applyAlignment="1">
      <alignment horizontal="center" vertical="center"/>
    </xf>
    <xf numFmtId="170" fontId="37" fillId="5" borderId="31" xfId="5" applyNumberFormat="1" applyFont="1" applyFill="1" applyBorder="1"/>
    <xf numFmtId="9" fontId="37" fillId="0" borderId="32" xfId="5" applyNumberFormat="1" applyFont="1" applyFill="1" applyBorder="1"/>
    <xf numFmtId="170" fontId="38" fillId="19" borderId="23" xfId="5" applyNumberFormat="1" applyFont="1" applyFill="1" applyBorder="1" applyAlignment="1">
      <alignment horizontal="center"/>
    </xf>
    <xf numFmtId="170" fontId="38" fillId="19" borderId="22" xfId="5" applyNumberFormat="1" applyFont="1" applyFill="1" applyBorder="1" applyAlignment="1">
      <alignment horizontal="center"/>
    </xf>
    <xf numFmtId="170" fontId="38" fillId="19" borderId="19" xfId="5" applyNumberFormat="1" applyFont="1" applyFill="1" applyBorder="1" applyAlignment="1">
      <alignment horizontal="center"/>
    </xf>
    <xf numFmtId="170" fontId="38" fillId="19" borderId="27" xfId="5" applyNumberFormat="1" applyFont="1" applyFill="1" applyBorder="1" applyAlignment="1">
      <alignment horizontal="center"/>
    </xf>
    <xf numFmtId="8" fontId="7" fillId="3" borderId="0" xfId="0" applyNumberFormat="1" applyFont="1" applyFill="1" applyBorder="1"/>
    <xf numFmtId="0" fontId="65" fillId="5" borderId="19" xfId="5" applyFont="1" applyFill="1" applyBorder="1" applyAlignment="1">
      <alignment horizontal="center"/>
    </xf>
    <xf numFmtId="0" fontId="22" fillId="4" borderId="0" xfId="0" applyFont="1" applyFill="1" applyAlignment="1">
      <alignment horizontal="left" vertical="center" wrapText="1"/>
    </xf>
    <xf numFmtId="0" fontId="22" fillId="4" borderId="0" xfId="0" applyFont="1" applyFill="1" applyAlignment="1">
      <alignment horizontal="left"/>
    </xf>
    <xf numFmtId="0" fontId="2" fillId="2" borderId="7" xfId="0" applyFont="1" applyFill="1" applyBorder="1" applyAlignment="1">
      <alignment horizontal="left" vertical="center"/>
    </xf>
    <xf numFmtId="0" fontId="7" fillId="4" borderId="0" xfId="0" applyFont="1" applyFill="1" applyBorder="1" applyAlignment="1">
      <alignment horizontal="left"/>
    </xf>
    <xf numFmtId="0" fontId="37" fillId="0" borderId="0" xfId="5" applyFont="1" applyAlignment="1">
      <alignment horizontal="center"/>
    </xf>
    <xf numFmtId="14" fontId="38" fillId="0" borderId="0" xfId="5" applyNumberFormat="1" applyFont="1" applyAlignment="1">
      <alignment horizontal="center" vertical="center"/>
    </xf>
    <xf numFmtId="0" fontId="38" fillId="0" borderId="0" xfId="5" applyFont="1" applyAlignment="1">
      <alignment horizontal="center" vertical="center"/>
    </xf>
    <xf numFmtId="0" fontId="63" fillId="9" borderId="0" xfId="5" applyFont="1" applyFill="1" applyAlignment="1">
      <alignment horizontal="center" vertical="center"/>
    </xf>
    <xf numFmtId="0" fontId="38" fillId="11" borderId="0" xfId="5" applyFont="1" applyFill="1" applyAlignment="1">
      <alignment horizontal="center"/>
    </xf>
    <xf numFmtId="171" fontId="39" fillId="0" borderId="0" xfId="5" applyNumberFormat="1" applyFont="1" applyBorder="1" applyAlignment="1">
      <alignment horizontal="left" vertical="center"/>
    </xf>
    <xf numFmtId="174" fontId="64" fillId="0" borderId="1" xfId="5" applyNumberFormat="1" applyFont="1" applyBorder="1" applyAlignment="1">
      <alignment horizontal="center" vertical="center" wrapText="1"/>
    </xf>
    <xf numFmtId="174" fontId="64" fillId="0" borderId="0" xfId="5" applyNumberFormat="1" applyFont="1" applyBorder="1" applyAlignment="1">
      <alignment horizontal="center" vertical="center" wrapText="1"/>
    </xf>
    <xf numFmtId="174" fontId="64" fillId="0" borderId="37" xfId="5" applyNumberFormat="1" applyFont="1" applyBorder="1" applyAlignment="1">
      <alignment horizontal="center" vertical="center" wrapText="1"/>
    </xf>
    <xf numFmtId="0" fontId="38" fillId="0" borderId="7" xfId="5" applyFont="1" applyFill="1" applyBorder="1" applyAlignment="1">
      <alignment horizontal="center" vertical="center" wrapText="1"/>
    </xf>
    <xf numFmtId="0" fontId="47" fillId="0" borderId="0" xfId="5" applyFont="1" applyAlignment="1">
      <alignment horizontal="center" vertical="center"/>
    </xf>
    <xf numFmtId="0" fontId="47" fillId="0" borderId="48" xfId="5" applyFont="1" applyBorder="1" applyAlignment="1">
      <alignment horizontal="center" vertical="center"/>
    </xf>
    <xf numFmtId="0" fontId="47" fillId="0" borderId="0" xfId="5" applyFont="1" applyBorder="1" applyAlignment="1">
      <alignment horizontal="center" vertical="center"/>
    </xf>
    <xf numFmtId="0" fontId="47" fillId="0" borderId="0" xfId="5" applyFont="1" applyFill="1" applyBorder="1" applyAlignment="1">
      <alignment horizontal="center" vertical="center"/>
    </xf>
    <xf numFmtId="165" fontId="19" fillId="4" borderId="0" xfId="0" applyNumberFormat="1" applyFont="1" applyFill="1" applyAlignment="1">
      <alignment horizontal="center"/>
    </xf>
    <xf numFmtId="165" fontId="20" fillId="4" borderId="0" xfId="0" applyNumberFormat="1" applyFont="1" applyFill="1" applyAlignment="1">
      <alignment horizontal="center"/>
    </xf>
    <xf numFmtId="165" fontId="19" fillId="4" borderId="6" xfId="0" applyNumberFormat="1" applyFont="1" applyFill="1" applyBorder="1" applyAlignment="1">
      <alignment horizontal="left"/>
    </xf>
    <xf numFmtId="165" fontId="19" fillId="4" borderId="0" xfId="0" applyNumberFormat="1" applyFont="1" applyFill="1" applyAlignment="1">
      <alignment horizontal="left"/>
    </xf>
    <xf numFmtId="165" fontId="25" fillId="4" borderId="0" xfId="0" applyNumberFormat="1" applyFont="1" applyFill="1" applyAlignment="1">
      <alignment horizontal="center"/>
    </xf>
    <xf numFmtId="165" fontId="20" fillId="4" borderId="0" xfId="0" applyNumberFormat="1" applyFont="1" applyFill="1" applyAlignment="1">
      <alignment horizontal="left"/>
    </xf>
    <xf numFmtId="165" fontId="25" fillId="4" borderId="6" xfId="0" applyNumberFormat="1" applyFont="1" applyFill="1" applyBorder="1" applyAlignment="1">
      <alignment horizontal="left"/>
    </xf>
    <xf numFmtId="165" fontId="25" fillId="4" borderId="0" xfId="0" applyNumberFormat="1" applyFont="1" applyFill="1" applyAlignment="1">
      <alignment horizontal="left"/>
    </xf>
    <xf numFmtId="0" fontId="24" fillId="4" borderId="0" xfId="0" applyFont="1" applyFill="1" applyAlignment="1">
      <alignment horizontal="left"/>
    </xf>
    <xf numFmtId="167" fontId="24" fillId="4" borderId="0" xfId="0" applyNumberFormat="1" applyFont="1" applyFill="1" applyAlignment="1">
      <alignment horizontal="center"/>
    </xf>
    <xf numFmtId="9" fontId="19" fillId="5" borderId="0" xfId="4" applyFont="1" applyFill="1" applyAlignment="1">
      <alignment horizontal="left"/>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17" fillId="4" borderId="0" xfId="0" applyFont="1" applyFill="1" applyAlignment="1">
      <alignment horizontal="center"/>
    </xf>
    <xf numFmtId="165" fontId="56" fillId="4" borderId="0" xfId="0" applyNumberFormat="1" applyFont="1" applyFill="1" applyAlignment="1">
      <alignment horizontal="left"/>
    </xf>
    <xf numFmtId="165" fontId="25" fillId="4" borderId="0" xfId="0" applyNumberFormat="1" applyFont="1" applyFill="1" applyAlignment="1">
      <alignment horizontal="center" vertical="center" wrapText="1"/>
    </xf>
    <xf numFmtId="165" fontId="25" fillId="5" borderId="0" xfId="0" applyNumberFormat="1" applyFont="1" applyFill="1" applyAlignment="1">
      <alignment horizontal="center" vertical="center" wrapText="1"/>
    </xf>
    <xf numFmtId="0" fontId="20" fillId="4" borderId="0" xfId="0" applyFont="1" applyFill="1" applyAlignment="1">
      <alignment horizontal="left"/>
    </xf>
    <xf numFmtId="165" fontId="53" fillId="4" borderId="0" xfId="0" applyNumberFormat="1" applyFont="1" applyFill="1" applyAlignment="1">
      <alignment horizontal="center" wrapText="1"/>
    </xf>
    <xf numFmtId="165" fontId="6" fillId="4" borderId="0" xfId="0" applyNumberFormat="1" applyFont="1" applyFill="1" applyAlignment="1">
      <alignment horizont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165" fontId="20" fillId="4" borderId="0" xfId="0" applyNumberFormat="1" applyFont="1" applyFill="1" applyAlignment="1">
      <alignment horizontal="center" wrapText="1"/>
    </xf>
    <xf numFmtId="0" fontId="26" fillId="0" borderId="0" xfId="0" applyFont="1" applyAlignment="1">
      <alignment horizontal="center"/>
    </xf>
    <xf numFmtId="0" fontId="0" fillId="0" borderId="0" xfId="0" applyAlignment="1">
      <alignment horizontal="center"/>
    </xf>
    <xf numFmtId="0" fontId="66" fillId="0" borderId="0" xfId="0" applyFont="1"/>
    <xf numFmtId="0" fontId="67" fillId="16" borderId="0" xfId="0" applyFont="1" applyFill="1" applyAlignment="1">
      <alignment horizontal="center"/>
    </xf>
    <xf numFmtId="0" fontId="67" fillId="15" borderId="0" xfId="0" applyFont="1" applyFill="1" applyAlignment="1">
      <alignment horizontal="center"/>
    </xf>
    <xf numFmtId="0" fontId="67" fillId="15" borderId="14" xfId="0" applyFont="1" applyFill="1" applyBorder="1" applyAlignment="1">
      <alignment horizontal="center"/>
    </xf>
    <xf numFmtId="0" fontId="67" fillId="14" borderId="42" xfId="0" applyFont="1" applyFill="1" applyBorder="1" applyAlignment="1">
      <alignment horizontal="center" vertical="center"/>
    </xf>
    <xf numFmtId="0" fontId="67" fillId="14" borderId="0" xfId="0" applyFont="1" applyFill="1" applyBorder="1" applyAlignment="1">
      <alignment horizontal="center" vertical="center"/>
    </xf>
    <xf numFmtId="0" fontId="67" fillId="14" borderId="14" xfId="0" applyFont="1" applyFill="1" applyBorder="1" applyAlignment="1">
      <alignment horizontal="center" vertical="center"/>
    </xf>
    <xf numFmtId="0" fontId="68" fillId="10" borderId="42" xfId="0" applyFont="1" applyFill="1" applyBorder="1" applyAlignment="1">
      <alignment horizontal="center" vertical="center"/>
    </xf>
    <xf numFmtId="0" fontId="68" fillId="10" borderId="0" xfId="0" applyFont="1" applyFill="1" applyAlignment="1">
      <alignment horizontal="center" vertical="center"/>
    </xf>
    <xf numFmtId="0" fontId="68" fillId="16" borderId="0" xfId="0" applyFont="1" applyFill="1" applyAlignment="1">
      <alignment horizontal="center" vertical="center"/>
    </xf>
    <xf numFmtId="0" fontId="68" fillId="0" borderId="0" xfId="0" applyFont="1" applyAlignment="1">
      <alignment horizontal="center"/>
    </xf>
    <xf numFmtId="17" fontId="68" fillId="0" borderId="0" xfId="0" applyNumberFormat="1" applyFont="1" applyAlignment="1">
      <alignment horizontal="center"/>
    </xf>
    <xf numFmtId="0" fontId="69" fillId="0" borderId="0" xfId="0" applyFont="1" applyAlignment="1">
      <alignment horizontal="center"/>
    </xf>
    <xf numFmtId="17" fontId="66" fillId="0" borderId="0" xfId="0" applyNumberFormat="1" applyFont="1"/>
    <xf numFmtId="0" fontId="66" fillId="0" borderId="14" xfId="0" applyFont="1" applyBorder="1"/>
    <xf numFmtId="0" fontId="66" fillId="0" borderId="0" xfId="0" applyFont="1" applyAlignment="1">
      <alignment horizontal="center" vertical="center"/>
    </xf>
    <xf numFmtId="0" fontId="66" fillId="0" borderId="14" xfId="0" applyFont="1" applyBorder="1" applyAlignment="1">
      <alignment horizontal="center" vertical="center"/>
    </xf>
    <xf numFmtId="0" fontId="68" fillId="2" borderId="0" xfId="0" applyFont="1" applyFill="1" applyAlignment="1">
      <alignment horizontal="center" vertical="center"/>
    </xf>
    <xf numFmtId="171" fontId="68" fillId="5" borderId="0" xfId="0" applyNumberFormat="1" applyFont="1" applyFill="1" applyAlignment="1">
      <alignment horizontal="center" vertical="center"/>
    </xf>
    <xf numFmtId="171" fontId="68" fillId="2" borderId="0" xfId="0" applyNumberFormat="1" applyFont="1" applyFill="1" applyAlignment="1">
      <alignment horizontal="center" vertical="center"/>
    </xf>
    <xf numFmtId="171" fontId="68" fillId="2" borderId="14" xfId="0" applyNumberFormat="1" applyFont="1" applyFill="1" applyBorder="1" applyAlignment="1">
      <alignment horizontal="center" vertical="center"/>
    </xf>
    <xf numFmtId="0" fontId="68" fillId="9" borderId="0" xfId="0" applyFont="1" applyFill="1"/>
    <xf numFmtId="171" fontId="70" fillId="9" borderId="0" xfId="0" applyNumberFormat="1" applyFont="1" applyFill="1" applyBorder="1" applyAlignment="1">
      <alignment horizontal="center" vertical="center"/>
    </xf>
    <xf numFmtId="0" fontId="68" fillId="10" borderId="0" xfId="0" applyFont="1" applyFill="1"/>
    <xf numFmtId="171" fontId="68" fillId="8" borderId="0" xfId="0" applyNumberFormat="1" applyFont="1" applyFill="1" applyAlignment="1">
      <alignment horizontal="right"/>
    </xf>
    <xf numFmtId="164" fontId="66" fillId="10" borderId="0" xfId="0" applyNumberFormat="1" applyFont="1" applyFill="1" applyAlignment="1">
      <alignment horizontal="center"/>
    </xf>
    <xf numFmtId="164" fontId="66" fillId="10" borderId="14" xfId="0" applyNumberFormat="1" applyFont="1" applyFill="1" applyBorder="1" applyAlignment="1">
      <alignment horizontal="center"/>
    </xf>
    <xf numFmtId="164" fontId="66" fillId="10" borderId="0" xfId="0" applyNumberFormat="1" applyFont="1" applyFill="1" applyAlignment="1">
      <alignment horizontal="center" vertical="center"/>
    </xf>
    <xf numFmtId="164" fontId="66" fillId="10" borderId="14" xfId="0" applyNumberFormat="1" applyFont="1" applyFill="1" applyBorder="1" applyAlignment="1">
      <alignment horizontal="center" vertical="center"/>
    </xf>
    <xf numFmtId="171" fontId="66" fillId="10" borderId="0" xfId="0" applyNumberFormat="1" applyFont="1" applyFill="1" applyAlignment="1">
      <alignment horizontal="center" vertical="center"/>
    </xf>
    <xf numFmtId="171" fontId="66" fillId="8" borderId="0" xfId="0" applyNumberFormat="1" applyFont="1" applyFill="1"/>
    <xf numFmtId="171" fontId="66" fillId="0" borderId="0" xfId="0" applyNumberFormat="1" applyFont="1" applyAlignment="1">
      <alignment horizontal="center" vertical="center"/>
    </xf>
    <xf numFmtId="171" fontId="66" fillId="0" borderId="0" xfId="0" applyNumberFormat="1" applyFont="1" applyFill="1" applyBorder="1"/>
    <xf numFmtId="171" fontId="66" fillId="0" borderId="0" xfId="0" applyNumberFormat="1" applyFont="1"/>
    <xf numFmtId="0" fontId="66" fillId="0" borderId="0" xfId="0" applyFont="1" applyAlignment="1">
      <alignment horizontal="center" vertical="center"/>
    </xf>
    <xf numFmtId="0" fontId="68" fillId="0" borderId="0" xfId="0" applyFont="1"/>
    <xf numFmtId="165" fontId="66" fillId="0" borderId="0" xfId="0" applyNumberFormat="1" applyFont="1" applyAlignment="1">
      <alignment horizontal="center"/>
    </xf>
    <xf numFmtId="165" fontId="66" fillId="0" borderId="14" xfId="0" applyNumberFormat="1" applyFont="1" applyBorder="1" applyAlignment="1">
      <alignment horizontal="center"/>
    </xf>
    <xf numFmtId="164" fontId="66" fillId="0" borderId="0" xfId="0" applyNumberFormat="1" applyFont="1" applyAlignment="1">
      <alignment horizontal="center"/>
    </xf>
    <xf numFmtId="164" fontId="66" fillId="0" borderId="14" xfId="0" applyNumberFormat="1" applyFont="1" applyBorder="1" applyAlignment="1">
      <alignment horizontal="center"/>
    </xf>
    <xf numFmtId="164" fontId="66" fillId="0" borderId="0" xfId="0" applyNumberFormat="1" applyFont="1" applyAlignment="1">
      <alignment horizontal="center" vertical="center"/>
    </xf>
    <xf numFmtId="164" fontId="66" fillId="0" borderId="14" xfId="0" applyNumberFormat="1" applyFont="1" applyBorder="1" applyAlignment="1">
      <alignment horizontal="center" vertical="center"/>
    </xf>
    <xf numFmtId="171" fontId="66" fillId="5" borderId="0" xfId="0" applyNumberFormat="1" applyFont="1" applyFill="1" applyAlignment="1">
      <alignment horizontal="center"/>
    </xf>
    <xf numFmtId="171" fontId="66" fillId="0" borderId="0" xfId="0" applyNumberFormat="1" applyFont="1" applyAlignment="1">
      <alignment horizontal="center"/>
    </xf>
    <xf numFmtId="171" fontId="66" fillId="0" borderId="14" xfId="0" applyNumberFormat="1" applyFont="1" applyBorder="1" applyAlignment="1">
      <alignment horizontal="center"/>
    </xf>
    <xf numFmtId="164" fontId="66" fillId="5" borderId="0" xfId="0" applyNumberFormat="1" applyFont="1" applyFill="1" applyAlignment="1">
      <alignment horizontal="center"/>
    </xf>
    <xf numFmtId="164" fontId="66" fillId="5" borderId="0" xfId="0" applyNumberFormat="1" applyFont="1" applyFill="1" applyAlignment="1">
      <alignment horizontal="center" vertical="center"/>
    </xf>
    <xf numFmtId="0" fontId="66" fillId="0" borderId="0" xfId="0" applyFont="1" applyAlignment="1">
      <alignment horizontal="center"/>
    </xf>
    <xf numFmtId="171" fontId="66" fillId="0" borderId="0" xfId="0" applyNumberFormat="1" applyFont="1" applyFill="1"/>
    <xf numFmtId="0" fontId="68" fillId="12" borderId="0" xfId="0" applyFont="1" applyFill="1"/>
    <xf numFmtId="171" fontId="68" fillId="12" borderId="0" xfId="0" applyNumberFormat="1" applyFont="1" applyFill="1" applyAlignment="1">
      <alignment horizontal="right"/>
    </xf>
    <xf numFmtId="171" fontId="66" fillId="18" borderId="0" xfId="0" applyNumberFormat="1" applyFont="1" applyFill="1"/>
    <xf numFmtId="165" fontId="66" fillId="18" borderId="0" xfId="0" applyNumberFormat="1" applyFont="1" applyFill="1" applyAlignment="1">
      <alignment horizontal="center"/>
    </xf>
    <xf numFmtId="165" fontId="66" fillId="18" borderId="14" xfId="0" applyNumberFormat="1" applyFont="1" applyFill="1" applyBorder="1" applyAlignment="1">
      <alignment horizontal="center"/>
    </xf>
    <xf numFmtId="164" fontId="66" fillId="18" borderId="0" xfId="0" applyNumberFormat="1" applyFont="1" applyFill="1" applyAlignment="1">
      <alignment horizontal="center"/>
    </xf>
    <xf numFmtId="164" fontId="66" fillId="18" borderId="14" xfId="0" applyNumberFormat="1" applyFont="1" applyFill="1" applyBorder="1" applyAlignment="1">
      <alignment horizontal="center"/>
    </xf>
    <xf numFmtId="164" fontId="66" fillId="18" borderId="0" xfId="0" applyNumberFormat="1" applyFont="1" applyFill="1" applyAlignment="1">
      <alignment horizontal="center" vertical="center"/>
    </xf>
    <xf numFmtId="164" fontId="66" fillId="18" borderId="14" xfId="0" applyNumberFormat="1" applyFont="1" applyFill="1" applyBorder="1" applyAlignment="1">
      <alignment horizontal="center" vertical="center"/>
    </xf>
    <xf numFmtId="0" fontId="66" fillId="5" borderId="0" xfId="0" applyFont="1" applyFill="1" applyAlignment="1">
      <alignment horizontal="center" vertical="center"/>
    </xf>
    <xf numFmtId="0" fontId="68" fillId="5" borderId="0" xfId="0" applyFont="1" applyFill="1"/>
    <xf numFmtId="171" fontId="66" fillId="5" borderId="0" xfId="0" applyNumberFormat="1" applyFont="1" applyFill="1"/>
    <xf numFmtId="165" fontId="66" fillId="5" borderId="0" xfId="0" applyNumberFormat="1" applyFont="1" applyFill="1" applyAlignment="1">
      <alignment horizontal="center"/>
    </xf>
    <xf numFmtId="165" fontId="66" fillId="5" borderId="14" xfId="0" applyNumberFormat="1" applyFont="1" applyFill="1" applyBorder="1" applyAlignment="1">
      <alignment horizontal="center"/>
    </xf>
    <xf numFmtId="164" fontId="66" fillId="5" borderId="14" xfId="0" applyNumberFormat="1" applyFont="1" applyFill="1" applyBorder="1" applyAlignment="1">
      <alignment horizontal="center"/>
    </xf>
    <xf numFmtId="164" fontId="66" fillId="5" borderId="14" xfId="0" applyNumberFormat="1" applyFont="1" applyFill="1" applyBorder="1" applyAlignment="1">
      <alignment horizontal="center" vertical="center"/>
    </xf>
    <xf numFmtId="0" fontId="66" fillId="5" borderId="0" xfId="0" applyFont="1" applyFill="1"/>
    <xf numFmtId="164" fontId="66" fillId="0" borderId="0" xfId="0" applyNumberFormat="1" applyFont="1"/>
    <xf numFmtId="164" fontId="66" fillId="0" borderId="14" xfId="0" applyNumberFormat="1" applyFont="1" applyBorder="1"/>
    <xf numFmtId="0" fontId="66" fillId="0" borderId="41" xfId="0" applyFont="1" applyBorder="1"/>
    <xf numFmtId="0" fontId="67" fillId="0" borderId="0" xfId="0" applyFont="1" applyAlignment="1">
      <alignment horizontal="center" vertical="center"/>
    </xf>
    <xf numFmtId="0" fontId="66" fillId="0" borderId="15" xfId="0" applyFont="1" applyBorder="1" applyAlignment="1">
      <alignment horizontal="center"/>
    </xf>
    <xf numFmtId="0" fontId="66" fillId="0" borderId="16" xfId="0" applyFont="1" applyBorder="1" applyAlignment="1">
      <alignment horizontal="center"/>
    </xf>
    <xf numFmtId="0" fontId="66" fillId="0" borderId="17" xfId="0" applyFont="1" applyBorder="1" applyAlignment="1">
      <alignment horizontal="center"/>
    </xf>
    <xf numFmtId="0" fontId="71" fillId="0" borderId="0" xfId="0" applyFont="1"/>
    <xf numFmtId="9" fontId="71" fillId="0" borderId="0" xfId="0" applyNumberFormat="1" applyFont="1"/>
    <xf numFmtId="9" fontId="71" fillId="0" borderId="14" xfId="0" applyNumberFormat="1" applyFont="1" applyBorder="1"/>
    <xf numFmtId="9" fontId="71" fillId="0" borderId="43" xfId="0" applyNumberFormat="1" applyFont="1" applyBorder="1"/>
    <xf numFmtId="9" fontId="71" fillId="0" borderId="0" xfId="0" applyNumberFormat="1" applyFont="1" applyAlignment="1">
      <alignment horizontal="center" vertical="center"/>
    </xf>
    <xf numFmtId="9" fontId="71" fillId="0" borderId="14" xfId="0" applyNumberFormat="1" applyFont="1" applyBorder="1" applyAlignment="1">
      <alignment horizontal="center" vertical="center"/>
    </xf>
    <xf numFmtId="0" fontId="71" fillId="0" borderId="14" xfId="0" applyFont="1" applyBorder="1"/>
    <xf numFmtId="0" fontId="71" fillId="0" borderId="0" xfId="0" applyFont="1" applyAlignment="1">
      <alignment horizontal="center" vertical="center"/>
    </xf>
    <xf numFmtId="9" fontId="71" fillId="5" borderId="14" xfId="0" applyNumberFormat="1" applyFont="1" applyFill="1" applyBorder="1"/>
    <xf numFmtId="0" fontId="71" fillId="0" borderId="14" xfId="0" applyFont="1" applyBorder="1" applyAlignment="1">
      <alignment horizontal="center" vertical="center"/>
    </xf>
    <xf numFmtId="9" fontId="71" fillId="0" borderId="0" xfId="0" applyNumberFormat="1" applyFont="1" applyFill="1" applyBorder="1"/>
    <xf numFmtId="9" fontId="71" fillId="0" borderId="14" xfId="0" applyNumberFormat="1" applyFont="1" applyFill="1" applyBorder="1"/>
    <xf numFmtId="9" fontId="71" fillId="0" borderId="0" xfId="0" applyNumberFormat="1" applyFont="1" applyFill="1" applyBorder="1" applyAlignment="1">
      <alignment horizontal="center" vertical="center"/>
    </xf>
    <xf numFmtId="9" fontId="71" fillId="0" borderId="14" xfId="0" applyNumberFormat="1" applyFont="1" applyFill="1" applyBorder="1" applyAlignment="1">
      <alignment horizontal="center" vertical="center"/>
    </xf>
    <xf numFmtId="9" fontId="71" fillId="5" borderId="14" xfId="0" applyNumberFormat="1" applyFont="1" applyFill="1" applyBorder="1" applyAlignment="1">
      <alignment horizontal="center" vertical="center"/>
    </xf>
  </cellXfs>
  <cellStyles count="7">
    <cellStyle name="Comma 2" xfId="6" xr:uid="{00000000-0005-0000-0000-000000000000}"/>
    <cellStyle name="Currency 2" xfId="2" xr:uid="{00000000-0005-0000-0000-000001000000}"/>
    <cellStyle name="Normal" xfId="0" builtinId="0"/>
    <cellStyle name="Normal 2" xfId="1" xr:uid="{00000000-0005-0000-0000-000003000000}"/>
    <cellStyle name="Normal 3" xfId="5" xr:uid="{00000000-0005-0000-0000-000004000000}"/>
    <cellStyle name="Percent" xfId="4" builtinId="5"/>
    <cellStyle name="Percent 2" xfId="3" xr:uid="{00000000-0005-0000-0000-000006000000}"/>
  </cellStyles>
  <dxfs count="0"/>
  <tableStyles count="0" defaultTableStyle="TableStyleMedium2" defaultPivotStyle="PivotStyleLight16"/>
  <colors>
    <mruColors>
      <color rgb="FF00FF00"/>
      <color rgb="FFA7FFFF"/>
      <color rgb="FF66FFFF"/>
      <color rgb="FFFFFFCD"/>
      <color rgb="FFFFCC66"/>
      <color rgb="FFF55155"/>
      <color rgb="FFB7A2E6"/>
      <color rgb="FFFF99FF"/>
      <color rgb="FF00CC00"/>
      <color rgb="FFF222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O39"/>
  <sheetViews>
    <sheetView tabSelected="1" zoomScale="110" zoomScaleNormal="110" workbookViewId="0">
      <pane xSplit="2" topLeftCell="C1" activePane="topRight" state="frozen"/>
      <selection pane="topRight" activeCell="G16" sqref="G16"/>
    </sheetView>
  </sheetViews>
  <sheetFormatPr baseColWidth="10" defaultColWidth="19.6640625" defaultRowHeight="16"/>
  <cols>
    <col min="1" max="1" width="19.6640625" style="416"/>
    <col min="2" max="2" width="41" style="416" customWidth="1"/>
    <col min="3" max="30" width="15" style="416" customWidth="1"/>
    <col min="31" max="42" width="15" style="431" customWidth="1"/>
    <col min="43" max="84" width="15" style="416" customWidth="1"/>
    <col min="85" max="16384" width="19.6640625" style="416"/>
  </cols>
  <sheetData>
    <row r="1" spans="1:67">
      <c r="G1" s="417" t="s">
        <v>145</v>
      </c>
      <c r="H1" s="417"/>
      <c r="I1" s="417"/>
      <c r="J1" s="417"/>
      <c r="K1" s="417"/>
      <c r="L1" s="417"/>
      <c r="M1" s="417"/>
      <c r="N1" s="417"/>
      <c r="O1" s="417"/>
      <c r="P1" s="417"/>
      <c r="Q1" s="417"/>
      <c r="R1" s="417"/>
      <c r="S1" s="418" t="s">
        <v>234</v>
      </c>
      <c r="T1" s="418"/>
      <c r="U1" s="418"/>
      <c r="V1" s="418"/>
      <c r="W1" s="418"/>
      <c r="X1" s="418"/>
      <c r="Y1" s="418"/>
      <c r="Z1" s="418"/>
      <c r="AA1" s="418"/>
      <c r="AB1" s="418"/>
      <c r="AC1" s="418"/>
      <c r="AD1" s="419"/>
      <c r="AE1" s="420" t="s">
        <v>235</v>
      </c>
      <c r="AF1" s="421"/>
      <c r="AG1" s="421"/>
      <c r="AH1" s="421"/>
      <c r="AI1" s="421"/>
      <c r="AJ1" s="421"/>
      <c r="AK1" s="421"/>
      <c r="AL1" s="421"/>
      <c r="AM1" s="421"/>
      <c r="AN1" s="421"/>
      <c r="AO1" s="421"/>
      <c r="AP1" s="422"/>
      <c r="AQ1" s="423" t="s">
        <v>338</v>
      </c>
      <c r="AR1" s="424"/>
      <c r="AS1" s="424"/>
      <c r="AT1" s="424"/>
      <c r="AU1" s="424"/>
      <c r="AV1" s="424"/>
      <c r="AW1" s="424"/>
      <c r="AX1" s="424"/>
      <c r="AY1" s="424"/>
      <c r="AZ1" s="424"/>
      <c r="BA1" s="424"/>
      <c r="BB1" s="424"/>
      <c r="BC1" s="425" t="s">
        <v>318</v>
      </c>
      <c r="BD1" s="425"/>
      <c r="BE1" s="425"/>
      <c r="BF1" s="425"/>
      <c r="BG1" s="425"/>
      <c r="BH1" s="425"/>
      <c r="BI1" s="425"/>
      <c r="BJ1" s="425"/>
      <c r="BK1" s="425"/>
      <c r="BL1" s="425"/>
      <c r="BM1" s="425"/>
      <c r="BN1" s="425"/>
    </row>
    <row r="2" spans="1:67" s="426" customFormat="1">
      <c r="B2" s="426" t="s">
        <v>21</v>
      </c>
      <c r="C2" s="427">
        <v>43160</v>
      </c>
      <c r="D2" s="427">
        <f>C2+31</f>
        <v>43191</v>
      </c>
      <c r="E2" s="427">
        <f t="shared" ref="E2:AU2" si="0">D2+31</f>
        <v>43222</v>
      </c>
      <c r="F2" s="427">
        <f t="shared" si="0"/>
        <v>43253</v>
      </c>
      <c r="G2" s="427">
        <f t="shared" si="0"/>
        <v>43284</v>
      </c>
      <c r="H2" s="427">
        <f t="shared" si="0"/>
        <v>43315</v>
      </c>
      <c r="I2" s="427">
        <f t="shared" si="0"/>
        <v>43346</v>
      </c>
      <c r="J2" s="427">
        <f t="shared" si="0"/>
        <v>43377</v>
      </c>
      <c r="K2" s="427">
        <f t="shared" si="0"/>
        <v>43408</v>
      </c>
      <c r="L2" s="427">
        <f t="shared" si="0"/>
        <v>43439</v>
      </c>
      <c r="M2" s="427">
        <f t="shared" si="0"/>
        <v>43470</v>
      </c>
      <c r="N2" s="427">
        <f t="shared" si="0"/>
        <v>43501</v>
      </c>
      <c r="O2" s="427">
        <f t="shared" si="0"/>
        <v>43532</v>
      </c>
      <c r="P2" s="427">
        <f t="shared" si="0"/>
        <v>43563</v>
      </c>
      <c r="Q2" s="427">
        <f t="shared" si="0"/>
        <v>43594</v>
      </c>
      <c r="R2" s="427">
        <f t="shared" si="0"/>
        <v>43625</v>
      </c>
      <c r="S2" s="427">
        <f t="shared" si="0"/>
        <v>43656</v>
      </c>
      <c r="T2" s="427">
        <f t="shared" si="0"/>
        <v>43687</v>
      </c>
      <c r="U2" s="427">
        <f t="shared" si="0"/>
        <v>43718</v>
      </c>
      <c r="V2" s="427">
        <f t="shared" si="0"/>
        <v>43749</v>
      </c>
      <c r="W2" s="427">
        <f t="shared" si="0"/>
        <v>43780</v>
      </c>
      <c r="X2" s="427">
        <f t="shared" si="0"/>
        <v>43811</v>
      </c>
      <c r="Y2" s="427">
        <f t="shared" si="0"/>
        <v>43842</v>
      </c>
      <c r="Z2" s="427">
        <f t="shared" si="0"/>
        <v>43873</v>
      </c>
      <c r="AA2" s="427">
        <f t="shared" si="0"/>
        <v>43904</v>
      </c>
      <c r="AB2" s="427">
        <f t="shared" si="0"/>
        <v>43935</v>
      </c>
      <c r="AC2" s="427">
        <f t="shared" si="0"/>
        <v>43966</v>
      </c>
      <c r="AD2" s="427">
        <f t="shared" si="0"/>
        <v>43997</v>
      </c>
      <c r="AE2" s="427">
        <f t="shared" si="0"/>
        <v>44028</v>
      </c>
      <c r="AF2" s="427">
        <f t="shared" si="0"/>
        <v>44059</v>
      </c>
      <c r="AG2" s="427">
        <f t="shared" si="0"/>
        <v>44090</v>
      </c>
      <c r="AH2" s="427">
        <f t="shared" si="0"/>
        <v>44121</v>
      </c>
      <c r="AI2" s="427">
        <f t="shared" si="0"/>
        <v>44152</v>
      </c>
      <c r="AJ2" s="427">
        <f t="shared" si="0"/>
        <v>44183</v>
      </c>
      <c r="AK2" s="427">
        <f t="shared" si="0"/>
        <v>44214</v>
      </c>
      <c r="AL2" s="427">
        <f t="shared" si="0"/>
        <v>44245</v>
      </c>
      <c r="AM2" s="427">
        <f t="shared" si="0"/>
        <v>44276</v>
      </c>
      <c r="AN2" s="427">
        <f t="shared" si="0"/>
        <v>44307</v>
      </c>
      <c r="AO2" s="427">
        <f t="shared" si="0"/>
        <v>44338</v>
      </c>
      <c r="AP2" s="427">
        <f t="shared" si="0"/>
        <v>44369</v>
      </c>
      <c r="AQ2" s="427">
        <f t="shared" si="0"/>
        <v>44400</v>
      </c>
      <c r="AR2" s="427">
        <f t="shared" si="0"/>
        <v>44431</v>
      </c>
      <c r="AS2" s="427">
        <f t="shared" si="0"/>
        <v>44462</v>
      </c>
      <c r="AT2" s="427">
        <f t="shared" si="0"/>
        <v>44493</v>
      </c>
      <c r="AU2" s="427">
        <f t="shared" si="0"/>
        <v>44524</v>
      </c>
      <c r="AV2" s="427">
        <f t="shared" ref="AV2" si="1">AU2+31</f>
        <v>44555</v>
      </c>
      <c r="AW2" s="427">
        <f t="shared" ref="AW2" si="2">AV2+31</f>
        <v>44586</v>
      </c>
      <c r="AX2" s="427">
        <f t="shared" ref="AX2" si="3">AW2+31</f>
        <v>44617</v>
      </c>
      <c r="AY2" s="427">
        <f t="shared" ref="AY2" si="4">AX2+31</f>
        <v>44648</v>
      </c>
      <c r="AZ2" s="427">
        <f t="shared" ref="AZ2" si="5">AY2+31</f>
        <v>44679</v>
      </c>
      <c r="BA2" s="427">
        <f t="shared" ref="BA2" si="6">AZ2+31</f>
        <v>44710</v>
      </c>
      <c r="BB2" s="427">
        <f t="shared" ref="BB2" si="7">BA2+31</f>
        <v>44741</v>
      </c>
      <c r="BC2" s="427">
        <f t="shared" ref="BC2" si="8">BB2+31</f>
        <v>44772</v>
      </c>
      <c r="BD2" s="427">
        <f t="shared" ref="BD2" si="9">BC2+31</f>
        <v>44803</v>
      </c>
      <c r="BE2" s="427">
        <f t="shared" ref="BE2" si="10">BD2+31</f>
        <v>44834</v>
      </c>
      <c r="BF2" s="427">
        <f t="shared" ref="BF2" si="11">BE2+31</f>
        <v>44865</v>
      </c>
      <c r="BG2" s="427">
        <f t="shared" ref="BG2" si="12">BF2+31</f>
        <v>44896</v>
      </c>
      <c r="BH2" s="427">
        <f t="shared" ref="BH2" si="13">BG2+31</f>
        <v>44927</v>
      </c>
      <c r="BI2" s="427">
        <f t="shared" ref="BI2" si="14">BH2+31</f>
        <v>44958</v>
      </c>
      <c r="BJ2" s="427">
        <f t="shared" ref="BJ2" si="15">BI2+31</f>
        <v>44989</v>
      </c>
      <c r="BK2" s="427">
        <f t="shared" ref="BK2" si="16">BJ2+31</f>
        <v>45020</v>
      </c>
      <c r="BL2" s="427">
        <f t="shared" ref="BL2" si="17">BK2+31</f>
        <v>45051</v>
      </c>
      <c r="BM2" s="427">
        <f t="shared" ref="BM2" si="18">BL2+31</f>
        <v>45082</v>
      </c>
      <c r="BN2" s="427">
        <f t="shared" ref="BN2" si="19">BM2+31</f>
        <v>45113</v>
      </c>
    </row>
    <row r="3" spans="1:67">
      <c r="F3" s="416" t="s">
        <v>21</v>
      </c>
      <c r="G3" s="428" t="s">
        <v>21</v>
      </c>
      <c r="H3" s="429" t="s">
        <v>152</v>
      </c>
      <c r="I3" s="429"/>
      <c r="J3" s="429"/>
      <c r="K3" s="429"/>
      <c r="L3" s="429"/>
      <c r="M3" s="429"/>
      <c r="R3" s="430"/>
      <c r="AD3" s="430"/>
      <c r="AP3" s="432"/>
    </row>
    <row r="4" spans="1:67">
      <c r="B4" s="433" t="s">
        <v>139</v>
      </c>
      <c r="C4" s="434">
        <v>1500000</v>
      </c>
      <c r="D4" s="435">
        <f>C23</f>
        <v>1363167.6</v>
      </c>
      <c r="E4" s="435">
        <f t="shared" ref="E4:AE4" si="20">D23</f>
        <v>1299667.6000000001</v>
      </c>
      <c r="F4" s="435">
        <f t="shared" si="20"/>
        <v>1217902.6000000001</v>
      </c>
      <c r="G4" s="435">
        <f t="shared" si="20"/>
        <v>1034933.05</v>
      </c>
      <c r="H4" s="435">
        <f t="shared" si="20"/>
        <v>937964.5541666667</v>
      </c>
      <c r="I4" s="435">
        <f t="shared" si="20"/>
        <v>748238.64923773333</v>
      </c>
      <c r="J4" s="435">
        <f t="shared" si="20"/>
        <v>681686.84476100001</v>
      </c>
      <c r="K4" s="435">
        <f t="shared" si="20"/>
        <v>645305.67073646665</v>
      </c>
      <c r="L4" s="435">
        <f t="shared" si="20"/>
        <v>625988.00011633337</v>
      </c>
      <c r="M4" s="435">
        <f t="shared" si="20"/>
        <v>608052.33994840004</v>
      </c>
      <c r="N4" s="435">
        <f t="shared" si="20"/>
        <v>617669.91113706667</v>
      </c>
      <c r="O4" s="435">
        <f t="shared" si="20"/>
        <v>612566.18142133334</v>
      </c>
      <c r="P4" s="435">
        <f t="shared" si="20"/>
        <v>575265.82215779996</v>
      </c>
      <c r="Q4" s="435">
        <f t="shared" si="20"/>
        <v>568915.48379866662</v>
      </c>
      <c r="R4" s="436">
        <f t="shared" si="20"/>
        <v>572945.15589173324</v>
      </c>
      <c r="S4" s="435">
        <f t="shared" si="20"/>
        <v>546340.83843699994</v>
      </c>
      <c r="T4" s="435">
        <f t="shared" si="20"/>
        <v>541596.5605909999</v>
      </c>
      <c r="U4" s="435">
        <f t="shared" si="20"/>
        <v>514437.07967848791</v>
      </c>
      <c r="V4" s="435">
        <f t="shared" si="20"/>
        <v>493835.97969509789</v>
      </c>
      <c r="W4" s="435">
        <f t="shared" si="20"/>
        <v>472465.64064082992</v>
      </c>
      <c r="X4" s="435">
        <f t="shared" si="20"/>
        <v>489580.92437392793</v>
      </c>
      <c r="Y4" s="435">
        <f t="shared" si="20"/>
        <v>461007.63346141594</v>
      </c>
      <c r="Z4" s="435">
        <f t="shared" si="20"/>
        <v>389151.10440714797</v>
      </c>
      <c r="AA4" s="435">
        <f t="shared" si="20"/>
        <v>383725.14721112396</v>
      </c>
      <c r="AB4" s="435">
        <f t="shared" si="20"/>
        <v>338193.76094422198</v>
      </c>
      <c r="AC4" s="435">
        <f t="shared" si="20"/>
        <v>345029.13653556397</v>
      </c>
      <c r="AD4" s="436">
        <f t="shared" si="20"/>
        <v>298808.89398515003</v>
      </c>
      <c r="AE4" s="435">
        <f t="shared" si="20"/>
        <v>276902.46143473603</v>
      </c>
      <c r="AF4" s="435">
        <f t="shared" ref="AF4" si="21">AE23</f>
        <v>277172.90151755005</v>
      </c>
      <c r="AG4" s="435">
        <f t="shared" ref="AG4" si="22">AF23</f>
        <v>242278.36101318971</v>
      </c>
      <c r="AH4" s="435">
        <f t="shared" ref="AH4" si="23">AG23</f>
        <v>215798.33406940178</v>
      </c>
      <c r="AI4" s="435">
        <f t="shared" ref="AI4" si="24">AH23</f>
        <v>187634.64980618627</v>
      </c>
      <c r="AJ4" s="435">
        <f t="shared" ref="AJ4" si="25">AI23</f>
        <v>225107.18974468799</v>
      </c>
      <c r="AK4" s="435">
        <f t="shared" ref="AK4" si="26">AJ23</f>
        <v>185163.56380032765</v>
      </c>
      <c r="AL4" s="435">
        <f t="shared" ref="AL4" si="27">AK23</f>
        <v>162048.96497711213</v>
      </c>
      <c r="AM4" s="435">
        <f t="shared" ref="AM4" si="28">AL23</f>
        <v>157116.47871504145</v>
      </c>
      <c r="AN4" s="435">
        <f t="shared" ref="AN4" si="29">AM23</f>
        <v>124245.42057354315</v>
      </c>
      <c r="AO4" s="435">
        <f t="shared" ref="AO4" si="30">AN23</f>
        <v>123203.38955318969</v>
      </c>
      <c r="AP4" s="435">
        <f t="shared" ref="AP4" si="31">AO23</f>
        <v>169088.55653398106</v>
      </c>
      <c r="AQ4" s="435">
        <f t="shared" ref="AQ4" si="32">AP23</f>
        <v>188326.80895477242</v>
      </c>
      <c r="AR4" s="435">
        <f t="shared" ref="AR4" si="33">AQ23</f>
        <v>183404.23715678137</v>
      </c>
      <c r="AS4" s="435">
        <f t="shared" ref="AS4" si="34">AR23</f>
        <v>130643.79132211709</v>
      </c>
      <c r="AT4" s="435">
        <f t="shared" ref="AT4" si="35">AS23</f>
        <v>96192.001930314233</v>
      </c>
      <c r="AU4" s="435">
        <f t="shared" ref="AU4" si="36">AT23</f>
        <v>55731.07684887285</v>
      </c>
      <c r="AV4" s="435">
        <f t="shared" ref="AV4" si="37">AU23</f>
        <v>139467.2896260157</v>
      </c>
      <c r="AW4" s="435">
        <f t="shared" ref="AW4" si="38">AV23</f>
        <v>80547.947725101403</v>
      </c>
      <c r="AX4" s="435">
        <f t="shared" ref="AX4" si="39">AW23</f>
        <v>50245.918709910009</v>
      </c>
      <c r="AY4" s="435">
        <f t="shared" ref="AY4" si="40">AX23</f>
        <v>51706.098646691535</v>
      </c>
      <c r="AZ4" s="435">
        <f t="shared" ref="AZ4" si="41">AY23</f>
        <v>49330.038960084436</v>
      </c>
      <c r="BA4" s="435">
        <f t="shared" ref="BA4" si="42">AZ23</f>
        <v>90571.292159200239</v>
      </c>
      <c r="BB4" s="435">
        <f t="shared" ref="BB4" si="43">BA23</f>
        <v>108747.65037653886</v>
      </c>
      <c r="BC4" s="435">
        <f t="shared" ref="BC4" si="44">BB23</f>
        <v>199068.90466012747</v>
      </c>
      <c r="BD4" s="435">
        <f t="shared" ref="BD4" si="45">BC23</f>
        <v>217297.24503066612</v>
      </c>
      <c r="BE4" s="435">
        <f t="shared" ref="BE4" si="46">BD23</f>
        <v>145524.83602904729</v>
      </c>
      <c r="BF4" s="435">
        <f t="shared" ref="BF4" si="47">BE23</f>
        <v>108805.0148809333</v>
      </c>
      <c r="BG4" s="435">
        <f t="shared" ref="BG4" si="48">BF23</f>
        <v>53150.395370884391</v>
      </c>
      <c r="BH4" s="435">
        <f t="shared" ref="BH4" si="49">BG23</f>
        <v>234603.08428311005</v>
      </c>
      <c r="BI4" s="435">
        <f t="shared" ref="BI4" si="50">BH23</f>
        <v>153836.98217377116</v>
      </c>
      <c r="BJ4" s="435">
        <f t="shared" ref="BJ4" si="51">BI23</f>
        <v>119176.05577144216</v>
      </c>
      <c r="BK4" s="435">
        <f t="shared" ref="BK4" si="52">BJ23</f>
        <v>139195.54818384309</v>
      </c>
      <c r="BL4" s="435">
        <f t="shared" ref="BL4" si="53">BK23</f>
        <v>173692.38534202875</v>
      </c>
      <c r="BM4" s="435">
        <f t="shared" ref="BM4" si="54">BL23</f>
        <v>254294.39820722438</v>
      </c>
      <c r="BN4" s="435">
        <f t="shared" ref="BN4:BO4" si="55">BM23</f>
        <v>422988.97299486987</v>
      </c>
      <c r="BO4" s="435">
        <f t="shared" si="55"/>
        <v>600258.79089023522</v>
      </c>
    </row>
    <row r="5" spans="1:67">
      <c r="A5" s="431" t="s">
        <v>143</v>
      </c>
      <c r="B5" s="437" t="s">
        <v>142</v>
      </c>
      <c r="C5" s="438">
        <f>'Capital Spend'!H84</f>
        <v>94832.4</v>
      </c>
      <c r="D5" s="438">
        <f>'Capital Spend'!I84</f>
        <v>47500</v>
      </c>
      <c r="E5" s="438">
        <f>'Capital Spend'!J84</f>
        <v>65765</v>
      </c>
      <c r="F5" s="438">
        <f>'Capital Spend'!K84</f>
        <v>164969.55000000002</v>
      </c>
      <c r="G5" s="438">
        <f>'Capital Spend'!L84</f>
        <v>57680.762499999997</v>
      </c>
      <c r="H5" s="438">
        <f>'Capital Spend'!M84</f>
        <v>158888.1925</v>
      </c>
      <c r="I5" s="438">
        <f>'Capital Spend'!N84</f>
        <v>43367.3825</v>
      </c>
      <c r="J5" s="438">
        <f>'Capital Spend'!O84</f>
        <v>14680.762500000001</v>
      </c>
      <c r="K5" s="438">
        <f>'Capital Spend'!P84</f>
        <v>0</v>
      </c>
      <c r="L5" s="438">
        <f>'Capital Spend'!Q84</f>
        <v>0</v>
      </c>
      <c r="M5" s="438">
        <f>'Capital Spend'!R84</f>
        <v>0</v>
      </c>
      <c r="N5" s="438">
        <f>'Capital Spend'!S84</f>
        <v>0</v>
      </c>
      <c r="O5" s="438">
        <f>'Capital Spend'!T84</f>
        <v>30000</v>
      </c>
      <c r="P5" s="438">
        <f>'Capital Spend'!U84</f>
        <v>7500</v>
      </c>
      <c r="Q5" s="438">
        <f>'Capital Spend'!V84</f>
        <v>0</v>
      </c>
      <c r="R5" s="438">
        <f>'Capital Spend'!W84</f>
        <v>36000</v>
      </c>
      <c r="S5" s="438">
        <f>'Capital Spend'!X84</f>
        <v>12000</v>
      </c>
      <c r="T5" s="438">
        <f>'Capital Spend'!Y84</f>
        <v>1500</v>
      </c>
      <c r="U5" s="438">
        <f>'Capital Spend'!Z84</f>
        <v>0</v>
      </c>
      <c r="V5" s="438">
        <f>'Capital Spend'!AA84</f>
        <v>0</v>
      </c>
      <c r="W5" s="438">
        <f>'Capital Spend'!AB84</f>
        <v>0</v>
      </c>
      <c r="X5" s="438">
        <f>'Capital Spend'!AC84</f>
        <v>0</v>
      </c>
      <c r="Y5" s="438">
        <f>'Capital Spend'!AD84</f>
        <v>53400</v>
      </c>
      <c r="Z5" s="438">
        <f>'Capital Spend'!AE84</f>
        <v>0</v>
      </c>
      <c r="AA5" s="438">
        <f>'Capital Spend'!AF84</f>
        <v>40000</v>
      </c>
      <c r="AB5" s="438">
        <f>'Capital Spend'!AG84</f>
        <v>0</v>
      </c>
      <c r="AC5" s="438">
        <f>'Capital Spend'!AH84</f>
        <v>66750</v>
      </c>
      <c r="AD5" s="438">
        <f>'Capital Spend'!AI84</f>
        <v>45350</v>
      </c>
      <c r="AE5" s="438">
        <f>'Capital Spend'!AJ84</f>
        <v>8000</v>
      </c>
      <c r="AF5" s="438">
        <f>'Capital Spend'!AK84</f>
        <v>0</v>
      </c>
      <c r="AG5" s="438">
        <f>'Capital Spend'!AL84</f>
        <v>0</v>
      </c>
      <c r="AH5" s="438">
        <f>'Capital Spend'!AM84</f>
        <v>0</v>
      </c>
      <c r="AI5" s="438">
        <f>'Capital Spend'!AN84</f>
        <v>0</v>
      </c>
      <c r="AJ5" s="438">
        <f>'Capital Spend'!AO84</f>
        <v>0</v>
      </c>
      <c r="AK5" s="438">
        <f>'Capital Spend'!AP84</f>
        <v>0</v>
      </c>
      <c r="AL5" s="438">
        <f>'Capital Spend'!AQ84</f>
        <v>0</v>
      </c>
      <c r="AM5" s="438">
        <f>'Capital Spend'!AR84</f>
        <v>35000</v>
      </c>
      <c r="AN5" s="438">
        <f>'Capital Spend'!AS84</f>
        <v>20000</v>
      </c>
      <c r="AO5" s="438">
        <f>'Capital Spend'!AT84</f>
        <v>0</v>
      </c>
      <c r="AP5" s="438">
        <f>'Capital Spend'!AU84</f>
        <v>28000</v>
      </c>
      <c r="AQ5" s="438">
        <f>'Capital Spend'!AV84</f>
        <v>23000</v>
      </c>
      <c r="AR5" s="438">
        <f>'Capital Spend'!AW84</f>
        <v>4000</v>
      </c>
      <c r="AS5" s="438">
        <f>'Capital Spend'!AX84</f>
        <v>0</v>
      </c>
      <c r="AT5" s="438">
        <f>'Capital Spend'!AY84</f>
        <v>0</v>
      </c>
      <c r="AU5" s="438">
        <f>'Capital Spend'!AZ84</f>
        <v>0</v>
      </c>
      <c r="AV5" s="438">
        <f>'Capital Spend'!BA84</f>
        <v>0</v>
      </c>
      <c r="AW5" s="438">
        <f>'Capital Spend'!BB84</f>
        <v>0</v>
      </c>
      <c r="AX5" s="438">
        <f>'Capital Spend'!BC84</f>
        <v>0</v>
      </c>
      <c r="AY5" s="438">
        <f>'Capital Spend'!BD84</f>
        <v>15000</v>
      </c>
      <c r="AZ5" s="438">
        <f>'Capital Spend'!BE84</f>
        <v>0</v>
      </c>
      <c r="BA5" s="438">
        <f>'Capital Spend'!BF84</f>
        <v>72000</v>
      </c>
      <c r="BB5" s="438">
        <f>'Capital Spend'!BG84</f>
        <v>3000</v>
      </c>
      <c r="BC5" s="438">
        <f>'Capital Spend'!BH84</f>
        <v>48000</v>
      </c>
      <c r="BD5" s="438">
        <f>'Capital Spend'!BI84</f>
        <v>12000</v>
      </c>
      <c r="BE5" s="438">
        <f>'Capital Spend'!BJ84</f>
        <v>0</v>
      </c>
      <c r="BF5" s="438">
        <f>'Capital Spend'!BK84</f>
        <v>0</v>
      </c>
      <c r="BG5" s="438">
        <f>'Capital Spend'!BL84</f>
        <v>0</v>
      </c>
      <c r="BH5" s="438">
        <f>'Capital Spend'!BM84</f>
        <v>0</v>
      </c>
      <c r="BI5" s="438">
        <f>'Capital Spend'!BN84</f>
        <v>0</v>
      </c>
      <c r="BJ5" s="438">
        <f>'Capital Spend'!BO84</f>
        <v>0</v>
      </c>
      <c r="BK5" s="438">
        <f>'Capital Spend'!BP84</f>
        <v>0</v>
      </c>
      <c r="BL5" s="438">
        <f>'Capital Spend'!BQ84</f>
        <v>0</v>
      </c>
      <c r="BM5" s="438">
        <f>'Capital Spend'!BR84</f>
        <v>0</v>
      </c>
      <c r="BN5" s="438">
        <f>'Capital Spend'!BS84</f>
        <v>0</v>
      </c>
      <c r="BO5" s="438">
        <f>'Capital Spend'!BT84</f>
        <v>0</v>
      </c>
    </row>
    <row r="6" spans="1:67">
      <c r="A6" s="431" t="s">
        <v>77</v>
      </c>
      <c r="B6" s="439" t="str">
        <f>'P&amp;L overview'!A5</f>
        <v xml:space="preserve">Revenue </v>
      </c>
      <c r="C6" s="440" t="s">
        <v>325</v>
      </c>
      <c r="D6" s="440"/>
      <c r="E6" s="440"/>
      <c r="F6" s="440"/>
      <c r="G6" s="440"/>
      <c r="H6" s="441">
        <f>'P&amp;L overview'!$C$5*'Cash Flow Statement Y1-5'!G26</f>
        <v>10200</v>
      </c>
      <c r="I6" s="441">
        <f>'P&amp;L overview'!$C$5*'Cash Flow Statement Y1-5'!H26</f>
        <v>15300</v>
      </c>
      <c r="J6" s="441">
        <f>'P&amp;L overview'!$C$5*'Cash Flow Statement Y1-5'!I26</f>
        <v>20400</v>
      </c>
      <c r="K6" s="441">
        <f>'P&amp;L overview'!$C$5*'Cash Flow Statement Y1-5'!J26</f>
        <v>30600</v>
      </c>
      <c r="L6" s="441">
        <f>'P&amp;L overview'!$C$5*'Cash Flow Statement Y1-5'!K26</f>
        <v>35700</v>
      </c>
      <c r="M6" s="441">
        <f>'P&amp;L overview'!$C$5*'Cash Flow Statement Y1-5'!L26</f>
        <v>51000</v>
      </c>
      <c r="N6" s="441">
        <f>'P&amp;L overview'!$C$5*'Cash Flow Statement Y1-5'!M26</f>
        <v>40800</v>
      </c>
      <c r="O6" s="441">
        <f>'P&amp;L overview'!$C$5*'Cash Flow Statement Y1-5'!N26</f>
        <v>45900</v>
      </c>
      <c r="P6" s="441">
        <f>'P&amp;L overview'!$C$5*'Cash Flow Statement Y1-5'!O26</f>
        <v>56100</v>
      </c>
      <c r="Q6" s="441">
        <f>'P&amp;L overview'!$C$5*'Cash Flow Statement Y1-5'!P26</f>
        <v>61200</v>
      </c>
      <c r="R6" s="441">
        <f>'P&amp;L overview'!$C$5*'Cash Flow Statement Y1-5'!Q26</f>
        <v>66300</v>
      </c>
      <c r="S6" s="442">
        <f>'P&amp;L overview'!$C$5*'Cash Flow Statement Y1-5'!R26</f>
        <v>76500</v>
      </c>
      <c r="T6" s="441">
        <f>'P&amp;L overview'!$D$5*'Cash Flow Statement Y1-5'!S26</f>
        <v>37932</v>
      </c>
      <c r="U6" s="441">
        <f>'P&amp;L overview'!$D$5*'Cash Flow Statement Y1-5'!T26</f>
        <v>47415</v>
      </c>
      <c r="V6" s="441">
        <f>'P&amp;L overview'!$D$5*'Cash Flow Statement Y1-5'!U26</f>
        <v>56898</v>
      </c>
      <c r="W6" s="441">
        <f>'P&amp;L overview'!$D$5*'Cash Flow Statement Y1-5'!V26</f>
        <v>85347</v>
      </c>
      <c r="X6" s="441">
        <f>'P&amp;L overview'!$D$5*'Cash Flow Statement Y1-5'!W26</f>
        <v>37932</v>
      </c>
      <c r="Y6" s="441">
        <f>'P&amp;L overview'!$D$5*'Cash Flow Statement Y1-5'!X26</f>
        <v>56898</v>
      </c>
      <c r="Z6" s="441">
        <f>'P&amp;L overview'!$D$5*'Cash Flow Statement Y1-5'!Y26</f>
        <v>75864</v>
      </c>
      <c r="AA6" s="441">
        <f>'P&amp;L overview'!$D$5*'Cash Flow Statement Y1-5'!Z26</f>
        <v>85347</v>
      </c>
      <c r="AB6" s="441">
        <f>'P&amp;L overview'!$D$5*'Cash Flow Statement Y1-5'!AA26</f>
        <v>104313</v>
      </c>
      <c r="AC6" s="441">
        <f>'P&amp;L overview'!$D$5*'Cash Flow Statement Y1-5'!AB26</f>
        <v>123279</v>
      </c>
      <c r="AD6" s="441">
        <f>'P&amp;L overview'!$D$5*'Cash Flow Statement Y1-5'!AC26</f>
        <v>123279</v>
      </c>
      <c r="AE6" s="442">
        <f>'P&amp;L overview'!$D$5*'Cash Flow Statement Y1-5'!AD26</f>
        <v>113796</v>
      </c>
      <c r="AF6" s="443">
        <f>'P&amp;L overview'!$E$5*'Cash Flow Statement Y1-5'!AE26</f>
        <v>63900.672000000006</v>
      </c>
      <c r="AG6" s="443">
        <f>'P&amp;L overview'!$E$5*'Cash Flow Statement Y1-5'!AF26</f>
        <v>79875.840000000011</v>
      </c>
      <c r="AH6" s="443">
        <f>'P&amp;L overview'!$E$5*'Cash Flow Statement Y1-5'!AG26</f>
        <v>95851.008000000002</v>
      </c>
      <c r="AI6" s="443">
        <f>'P&amp;L overview'!$E$5*'Cash Flow Statement Y1-5'!AH26</f>
        <v>143776.51199999999</v>
      </c>
      <c r="AJ6" s="443">
        <f>'P&amp;L overview'!$E$5*'Cash Flow Statement Y1-5'!AI26</f>
        <v>63900.672000000006</v>
      </c>
      <c r="AK6" s="443">
        <f>'P&amp;L overview'!$E$5*'Cash Flow Statement Y1-5'!AJ26</f>
        <v>95851.008000000002</v>
      </c>
      <c r="AL6" s="443">
        <f>'P&amp;L overview'!$E$5*'Cash Flow Statement Y1-5'!AK26</f>
        <v>127801.34400000001</v>
      </c>
      <c r="AM6" s="443">
        <f>'P&amp;L overview'!$E$5*'Cash Flow Statement Y1-5'!AL26</f>
        <v>143776.51199999999</v>
      </c>
      <c r="AN6" s="443">
        <f>'P&amp;L overview'!$E$5*'Cash Flow Statement Y1-5'!AM26</f>
        <v>175726.848</v>
      </c>
      <c r="AO6" s="443">
        <f>'P&amp;L overview'!$E$5*'Cash Flow Statement Y1-5'!AN26</f>
        <v>207677.18400000001</v>
      </c>
      <c r="AP6" s="443">
        <f>'P&amp;L overview'!$E$5*'Cash Flow Statement Y1-5'!AO26</f>
        <v>207677.18400000001</v>
      </c>
      <c r="AQ6" s="444">
        <f>'P&amp;L overview'!$E$5*'Cash Flow Statement Y1-5'!AP26</f>
        <v>191702.016</v>
      </c>
      <c r="AR6" s="445">
        <f>'P&amp;L overview'!$F$5*'Cash Flow Statement Y1-5'!AQ26</f>
        <v>124780.88700000002</v>
      </c>
      <c r="AS6" s="445">
        <f>'P&amp;L overview'!$F$5*'Cash Flow Statement Y1-5'!AR26</f>
        <v>155976.10875000001</v>
      </c>
      <c r="AT6" s="445">
        <f>'P&amp;L overview'!$F$5*'Cash Flow Statement Y1-5'!AS26</f>
        <v>187171.33050000001</v>
      </c>
      <c r="AU6" s="445">
        <f>'P&amp;L overview'!$F$5*'Cash Flow Statement Y1-5'!AT26</f>
        <v>280756.99575</v>
      </c>
      <c r="AV6" s="445">
        <f>'P&amp;L overview'!$F$5*'Cash Flow Statement Y1-5'!AU26</f>
        <v>124780.88700000002</v>
      </c>
      <c r="AW6" s="445">
        <f>'P&amp;L overview'!$F$5*'Cash Flow Statement Y1-5'!AV26</f>
        <v>187171.33050000001</v>
      </c>
      <c r="AX6" s="445">
        <f>'P&amp;L overview'!$F$5*'Cash Flow Statement Y1-5'!AW26</f>
        <v>249561.77400000003</v>
      </c>
      <c r="AY6" s="445">
        <f>'P&amp;L overview'!$F$5*'Cash Flow Statement Y1-5'!AX26</f>
        <v>280756.99575</v>
      </c>
      <c r="AZ6" s="445">
        <f>'P&amp;L overview'!$F$5*'Cash Flow Statement Y1-5'!AY26</f>
        <v>343147.43925000005</v>
      </c>
      <c r="BA6" s="445">
        <f>'P&amp;L overview'!$F$5*'Cash Flow Statement Y1-5'!AZ26</f>
        <v>405537.88275000005</v>
      </c>
      <c r="BB6" s="445">
        <f>'P&amp;L overview'!$F$5*'Cash Flow Statement Y1-5'!BA26</f>
        <v>405537.88275000005</v>
      </c>
      <c r="BC6" s="445">
        <f>'P&amp;L overview'!$F$5*'Cash Flow Statement Y1-5'!BB26</f>
        <v>374342.66100000002</v>
      </c>
      <c r="BD6" s="445">
        <f>'P&amp;L overview'!$G$5*'Cash Flow Statement Y1-5'!BC26</f>
        <v>233423.49948800003</v>
      </c>
      <c r="BE6" s="445">
        <f>'P&amp;L overview'!$G$5*'Cash Flow Statement Y1-5'!BD26</f>
        <v>291779.37436000002</v>
      </c>
      <c r="BF6" s="445">
        <f>'P&amp;L overview'!$G$5*'Cash Flow Statement Y1-5'!BE26</f>
        <v>350135.24923200003</v>
      </c>
      <c r="BG6" s="445">
        <f>'P&amp;L overview'!$G$5*'Cash Flow Statement Y1-5'!BF26</f>
        <v>525202.87384799996</v>
      </c>
      <c r="BH6" s="445">
        <f>'P&amp;L overview'!$G$5*'Cash Flow Statement Y1-5'!BG26</f>
        <v>233423.49948800003</v>
      </c>
      <c r="BI6" s="445">
        <f>'P&amp;L overview'!$G$5*'Cash Flow Statement Y1-5'!BH26</f>
        <v>350135.24923200003</v>
      </c>
      <c r="BJ6" s="445">
        <f>'P&amp;L overview'!$G$5*'Cash Flow Statement Y1-5'!BI26</f>
        <v>466846.99897600006</v>
      </c>
      <c r="BK6" s="445">
        <f>'P&amp;L overview'!$G$5*'Cash Flow Statement Y1-5'!BJ26</f>
        <v>525202.87384799996</v>
      </c>
      <c r="BL6" s="445">
        <f>'P&amp;L overview'!$G$5*'Cash Flow Statement Y1-5'!BK26</f>
        <v>641914.62359199999</v>
      </c>
      <c r="BM6" s="445">
        <f>'P&amp;L overview'!$G$5*'Cash Flow Statement Y1-5'!BL26</f>
        <v>758626.37333600002</v>
      </c>
      <c r="BN6" s="445">
        <f>'P&amp;L overview'!$G$5*'Cash Flow Statement Y1-5'!BM26</f>
        <v>758626.37333600002</v>
      </c>
      <c r="BO6" s="445">
        <f>'P&amp;L overview'!$G$5*'Cash Flow Statement Y1-5'!BN26</f>
        <v>700270.49846400006</v>
      </c>
    </row>
    <row r="7" spans="1:67" hidden="1">
      <c r="A7" s="431"/>
      <c r="B7" s="439" t="str">
        <f>'P&amp;L overview'!A6</f>
        <v>Contract Brewing</v>
      </c>
      <c r="C7" s="446"/>
      <c r="D7" s="446"/>
      <c r="E7" s="446"/>
      <c r="F7" s="446"/>
      <c r="G7" s="441">
        <f>'P&amp;L overview'!$C$6*'Cash Flow Statement Y1-5'!G29</f>
        <v>0</v>
      </c>
      <c r="H7" s="441">
        <f>'P&amp;L overview'!$C$6*'Cash Flow Statement Y1-5'!H29</f>
        <v>0</v>
      </c>
      <c r="I7" s="441">
        <f>'P&amp;L overview'!$C$6*'Cash Flow Statement Y1-5'!I29</f>
        <v>0</v>
      </c>
      <c r="J7" s="441">
        <f>'P&amp;L overview'!$C$6*'Cash Flow Statement Y1-5'!J29</f>
        <v>0</v>
      </c>
      <c r="K7" s="441">
        <f>'P&amp;L overview'!$C$6*'Cash Flow Statement Y1-5'!K29</f>
        <v>0</v>
      </c>
      <c r="L7" s="441">
        <f>'P&amp;L overview'!$C$6*'Cash Flow Statement Y1-5'!L29</f>
        <v>0</v>
      </c>
      <c r="M7" s="441">
        <f>'P&amp;L overview'!$C$6*'Cash Flow Statement Y1-5'!M29</f>
        <v>0</v>
      </c>
      <c r="N7" s="441">
        <f>'P&amp;L overview'!$C$6*'Cash Flow Statement Y1-5'!N29</f>
        <v>0</v>
      </c>
      <c r="O7" s="441">
        <f>'P&amp;L overview'!$C$6*'Cash Flow Statement Y1-5'!O29</f>
        <v>0</v>
      </c>
      <c r="P7" s="441">
        <f>'P&amp;L overview'!$C$6*'Cash Flow Statement Y1-5'!P29</f>
        <v>0</v>
      </c>
      <c r="Q7" s="441">
        <f>'P&amp;L overview'!$C$6*'Cash Flow Statement Y1-5'!Q29</f>
        <v>0</v>
      </c>
      <c r="R7" s="442">
        <f>'P&amp;L overview'!$C$6*'Cash Flow Statement Y1-5'!R29</f>
        <v>0</v>
      </c>
      <c r="S7" s="441">
        <f>'P&amp;L overview'!$D$6*'Cash Flow Statement Y1-5'!S29</f>
        <v>0</v>
      </c>
      <c r="T7" s="441">
        <f>'P&amp;L overview'!$D$6*'Cash Flow Statement Y1-5'!T29</f>
        <v>0</v>
      </c>
      <c r="U7" s="441">
        <f>'P&amp;L overview'!$D$6*'Cash Flow Statement Y1-5'!U29</f>
        <v>0</v>
      </c>
      <c r="V7" s="441">
        <f>'P&amp;L overview'!$D$6*'Cash Flow Statement Y1-5'!V29</f>
        <v>0</v>
      </c>
      <c r="W7" s="441">
        <f>'P&amp;L overview'!$D$6*'Cash Flow Statement Y1-5'!W29</f>
        <v>0</v>
      </c>
      <c r="X7" s="441">
        <f>'P&amp;L overview'!$D$6*'Cash Flow Statement Y1-5'!X29</f>
        <v>0</v>
      </c>
      <c r="Y7" s="441">
        <f>'P&amp;L overview'!$D$6*'Cash Flow Statement Y1-5'!Y29</f>
        <v>0</v>
      </c>
      <c r="Z7" s="441">
        <f>'P&amp;L overview'!$D$6*'Cash Flow Statement Y1-5'!Z29</f>
        <v>0</v>
      </c>
      <c r="AA7" s="441">
        <f>'P&amp;L overview'!$D$6*'Cash Flow Statement Y1-5'!AA29</f>
        <v>0</v>
      </c>
      <c r="AB7" s="441">
        <f>'P&amp;L overview'!$D$6*'Cash Flow Statement Y1-5'!AB29</f>
        <v>0</v>
      </c>
      <c r="AC7" s="441">
        <f>'P&amp;L overview'!$D$6*'Cash Flow Statement Y1-5'!AC29</f>
        <v>0</v>
      </c>
      <c r="AD7" s="442">
        <f>'P&amp;L overview'!$D$6*'Cash Flow Statement Y1-5'!AD29</f>
        <v>0</v>
      </c>
      <c r="AE7" s="443">
        <f>'P&amp;L overview'!$E$6*'Cash Flow Statement Y1-5'!AE29</f>
        <v>0</v>
      </c>
      <c r="AF7" s="443">
        <f>'P&amp;L overview'!$E$6*'Cash Flow Statement Y1-5'!AF29</f>
        <v>0</v>
      </c>
      <c r="AG7" s="443">
        <f>'P&amp;L overview'!$E$6*'Cash Flow Statement Y1-5'!AG29</f>
        <v>0</v>
      </c>
      <c r="AH7" s="443">
        <f>'P&amp;L overview'!$E$6*'Cash Flow Statement Y1-5'!AH29</f>
        <v>0</v>
      </c>
      <c r="AI7" s="443">
        <f>'P&amp;L overview'!$E$6*'Cash Flow Statement Y1-5'!AI29</f>
        <v>0</v>
      </c>
      <c r="AJ7" s="443">
        <f>'P&amp;L overview'!$E$6*'Cash Flow Statement Y1-5'!AJ29</f>
        <v>0</v>
      </c>
      <c r="AK7" s="443">
        <f>'P&amp;L overview'!$E$6*'Cash Flow Statement Y1-5'!AK29</f>
        <v>0</v>
      </c>
      <c r="AL7" s="443">
        <f>'P&amp;L overview'!$E$6*'Cash Flow Statement Y1-5'!AL29</f>
        <v>0</v>
      </c>
      <c r="AM7" s="443">
        <f>'P&amp;L overview'!$E$6*'Cash Flow Statement Y1-5'!AM29</f>
        <v>0</v>
      </c>
      <c r="AN7" s="443">
        <f>'P&amp;L overview'!$E$6*'Cash Flow Statement Y1-5'!AN29</f>
        <v>0</v>
      </c>
      <c r="AO7" s="443">
        <f>'P&amp;L overview'!$E$6*'Cash Flow Statement Y1-5'!AO29</f>
        <v>0</v>
      </c>
      <c r="AP7" s="444">
        <f>'P&amp;L overview'!$E$6*'Cash Flow Statement Y1-5'!AP29</f>
        <v>0</v>
      </c>
      <c r="AR7" s="447"/>
      <c r="AS7" s="447"/>
      <c r="AT7" s="447"/>
      <c r="AU7" s="447"/>
      <c r="AV7" s="447"/>
      <c r="AW7" s="447"/>
      <c r="AX7" s="447"/>
      <c r="AY7" s="447"/>
      <c r="AZ7" s="447"/>
      <c r="BA7" s="447"/>
      <c r="BB7" s="447"/>
      <c r="BC7" s="447"/>
      <c r="BD7" s="447"/>
      <c r="BE7" s="448"/>
      <c r="BF7" s="448"/>
      <c r="BG7" s="449"/>
      <c r="BH7" s="449"/>
      <c r="BI7" s="449"/>
      <c r="BJ7" s="449"/>
      <c r="BK7" s="449"/>
      <c r="BL7" s="449"/>
      <c r="BM7" s="449"/>
      <c r="BN7" s="449"/>
      <c r="BO7" s="449"/>
    </row>
    <row r="8" spans="1:67">
      <c r="A8" s="450" t="s">
        <v>144</v>
      </c>
      <c r="B8" s="451" t="str">
        <f>'P&amp;L overview'!A7</f>
        <v xml:space="preserve">DUTY </v>
      </c>
      <c r="C8" s="446"/>
      <c r="D8" s="440" t="s">
        <v>326</v>
      </c>
      <c r="E8" s="440"/>
      <c r="F8" s="440"/>
      <c r="G8" s="440"/>
      <c r="H8" s="452">
        <f>'P&amp;L overview'!$C$7*'Cash Flow Statement Y1-5'!G26</f>
        <v>1647.9790955999997</v>
      </c>
      <c r="I8" s="452">
        <f>'P&amp;L overview'!$C$7*'Cash Flow Statement Y1-5'!H26</f>
        <v>2471.9686433999996</v>
      </c>
      <c r="J8" s="452">
        <f>'P&amp;L overview'!$C$7*'Cash Flow Statement Y1-5'!I26</f>
        <v>3295.9581911999994</v>
      </c>
      <c r="K8" s="452">
        <f>'P&amp;L overview'!$C$7*'Cash Flow Statement Y1-5'!J26</f>
        <v>4943.9372867999991</v>
      </c>
      <c r="L8" s="452">
        <f>'P&amp;L overview'!$C$7*'Cash Flow Statement Y1-5'!K26</f>
        <v>5767.9268345999999</v>
      </c>
      <c r="M8" s="452">
        <f>'P&amp;L overview'!$C$7*'Cash Flow Statement Y1-5'!L26</f>
        <v>8239.8954779999985</v>
      </c>
      <c r="N8" s="452">
        <f>'P&amp;L overview'!$C$7*'Cash Flow Statement Y1-5'!M26</f>
        <v>6591.9163823999988</v>
      </c>
      <c r="O8" s="452">
        <f>'P&amp;L overview'!$C$7*'Cash Flow Statement Y1-5'!N26</f>
        <v>7415.9059301999987</v>
      </c>
      <c r="P8" s="452">
        <f>'P&amp;L overview'!$C$7*'Cash Flow Statement Y1-5'!O26</f>
        <v>9063.8850257999984</v>
      </c>
      <c r="Q8" s="452">
        <f>'P&amp;L overview'!$C$7*'Cash Flow Statement Y1-5'!P26</f>
        <v>9887.8745735999983</v>
      </c>
      <c r="R8" s="452">
        <f>'P&amp;L overview'!$C$7*'Cash Flow Statement Y1-5'!Q26</f>
        <v>10711.864121399998</v>
      </c>
      <c r="S8" s="453">
        <f>'P&amp;L overview'!$C$7*'Cash Flow Statement Y1-5'!R26</f>
        <v>12359.843216999998</v>
      </c>
      <c r="T8" s="454">
        <f>'P&amp;L overview'!$D$7*'Cash Flow Statement Y1-5'!S26</f>
        <v>6043.2362835119993</v>
      </c>
      <c r="U8" s="454">
        <f>'P&amp;L overview'!$D$7*'Cash Flow Statement Y1-5'!T26</f>
        <v>7554.0453543899994</v>
      </c>
      <c r="V8" s="454">
        <f>'P&amp;L overview'!$D$7*'Cash Flow Statement Y1-5'!U26</f>
        <v>9064.8544252679985</v>
      </c>
      <c r="W8" s="454">
        <f>'P&amp;L overview'!$D$7*'Cash Flow Statement Y1-5'!V26</f>
        <v>13597.281637901997</v>
      </c>
      <c r="X8" s="454">
        <f>'P&amp;L overview'!$D$7*'Cash Flow Statement Y1-5'!W26</f>
        <v>6043.2362835119993</v>
      </c>
      <c r="Y8" s="454">
        <f>'P&amp;L overview'!$D$7*'Cash Flow Statement Y1-5'!X26</f>
        <v>9064.8544252679985</v>
      </c>
      <c r="Z8" s="454">
        <f>'P&amp;L overview'!$D$7*'Cash Flow Statement Y1-5'!Y26</f>
        <v>12086.472567023999</v>
      </c>
      <c r="AA8" s="454">
        <f>'P&amp;L overview'!$D$7*'Cash Flow Statement Y1-5'!Z26</f>
        <v>13597.281637901997</v>
      </c>
      <c r="AB8" s="454">
        <f>'P&amp;L overview'!$D$7*'Cash Flow Statement Y1-5'!AA26</f>
        <v>16618.899779657997</v>
      </c>
      <c r="AC8" s="454">
        <f>'P&amp;L overview'!$D$7*'Cash Flow Statement Y1-5'!AB26</f>
        <v>19640.517921413997</v>
      </c>
      <c r="AD8" s="454">
        <f>'P&amp;L overview'!$D$7*'Cash Flow Statement Y1-5'!AC26</f>
        <v>19640.517921413997</v>
      </c>
      <c r="AE8" s="455">
        <f>'P&amp;L overview'!$D$7*'Cash Flow Statement Y1-5'!AD26</f>
        <v>18129.708850535997</v>
      </c>
      <c r="AF8" s="456">
        <f>'P&amp;L overview'!$E$7*'Cash Flow Statement Y1-5'!AE26</f>
        <v>10046.275997710349</v>
      </c>
      <c r="AG8" s="456">
        <f>'P&amp;L overview'!$E$7*'Cash Flow Statement Y1-5'!AF26</f>
        <v>12557.844997137936</v>
      </c>
      <c r="AH8" s="456">
        <f>'P&amp;L overview'!$E$7*'Cash Flow Statement Y1-5'!AG26</f>
        <v>15069.413996565521</v>
      </c>
      <c r="AI8" s="456">
        <f>'P&amp;L overview'!$E$7*'Cash Flow Statement Y1-5'!AH26</f>
        <v>22604.120994848283</v>
      </c>
      <c r="AJ8" s="456">
        <f>'P&amp;L overview'!$E$7*'Cash Flow Statement Y1-5'!AI26</f>
        <v>10046.275997710349</v>
      </c>
      <c r="AK8" s="456">
        <f>'P&amp;L overview'!$E$7*'Cash Flow Statement Y1-5'!AJ26</f>
        <v>15069.413996565521</v>
      </c>
      <c r="AL8" s="456">
        <f>'P&amp;L overview'!$E$7*'Cash Flow Statement Y1-5'!AK26</f>
        <v>20092.551995420697</v>
      </c>
      <c r="AM8" s="456">
        <f>'P&amp;L overview'!$E$7*'Cash Flow Statement Y1-5'!AL26</f>
        <v>22604.120994848283</v>
      </c>
      <c r="AN8" s="456">
        <f>'P&amp;L overview'!$E$7*'Cash Flow Statement Y1-5'!AM26</f>
        <v>27627.258993703457</v>
      </c>
      <c r="AO8" s="456">
        <f>'P&amp;L overview'!$E$7*'Cash Flow Statement Y1-5'!AN26</f>
        <v>32650.396992558632</v>
      </c>
      <c r="AP8" s="456">
        <f>'P&amp;L overview'!$E$7*'Cash Flow Statement Y1-5'!AO26</f>
        <v>32650.396992558632</v>
      </c>
      <c r="AQ8" s="457">
        <f>'P&amp;L overview'!$E$7*'Cash Flow Statement Y1-5'!AP26</f>
        <v>30138.827993131043</v>
      </c>
      <c r="AR8" s="447">
        <f>'P&amp;L overview'!$F$7*'Cash Flow Statement Y1-5'!AQ26</f>
        <v>26910.676963554277</v>
      </c>
      <c r="AS8" s="447">
        <f>'P&amp;L overview'!$F$7*'Cash Flow Statement Y1-5'!AR26</f>
        <v>33638.346204442845</v>
      </c>
      <c r="AT8" s="447">
        <f>'P&amp;L overview'!$F$7*'Cash Flow Statement Y1-5'!AS26</f>
        <v>40366.01544533141</v>
      </c>
      <c r="AU8" s="447">
        <f>'P&amp;L overview'!$F$7*'Cash Flow Statement Y1-5'!AT26</f>
        <v>60549.023167997118</v>
      </c>
      <c r="AV8" s="447">
        <f>'P&amp;L overview'!$F$7*'Cash Flow Statement Y1-5'!AU26</f>
        <v>26910.676963554277</v>
      </c>
      <c r="AW8" s="447">
        <f>'P&amp;L overview'!$F$7*'Cash Flow Statement Y1-5'!AV26</f>
        <v>40366.01544533141</v>
      </c>
      <c r="AX8" s="447">
        <f>'P&amp;L overview'!$F$7*'Cash Flow Statement Y1-5'!AW26</f>
        <v>53821.353927108554</v>
      </c>
      <c r="AY8" s="447">
        <f>'P&amp;L overview'!$F$7*'Cash Flow Statement Y1-5'!AX26</f>
        <v>60549.023167997118</v>
      </c>
      <c r="AZ8" s="447">
        <f>'P&amp;L overview'!$F$7*'Cash Flow Statement Y1-5'!AY26</f>
        <v>74004.361649774262</v>
      </c>
      <c r="BA8" s="447">
        <f>'P&amp;L overview'!$F$7*'Cash Flow Statement Y1-5'!AZ26</f>
        <v>87459.700131551406</v>
      </c>
      <c r="BB8" s="447">
        <f>'P&amp;L overview'!$F$7*'Cash Flow Statement Y1-5'!BA26</f>
        <v>87459.700131551406</v>
      </c>
      <c r="BC8" s="447">
        <f>'P&amp;L overview'!$F$7*'Cash Flow Statement Y1-5'!BB26</f>
        <v>80732.03089066282</v>
      </c>
      <c r="BD8" s="447">
        <f>'P&amp;L overview'!$G$7*'Cash Flow Statement Y1-5'!BC26</f>
        <v>57238.375643100328</v>
      </c>
      <c r="BE8" s="447">
        <f>'P&amp;L overview'!$G$7*'Cash Flow Statement Y1-5'!BD26</f>
        <v>71547.969553875417</v>
      </c>
      <c r="BF8" s="447">
        <f>'P&amp;L overview'!$G$7*'Cash Flow Statement Y1-5'!BE26</f>
        <v>85857.563464650491</v>
      </c>
      <c r="BG8" s="447">
        <f>'P&amp;L overview'!$G$7*'Cash Flow Statement Y1-5'!BF26</f>
        <v>128786.34519697573</v>
      </c>
      <c r="BH8" s="447">
        <f>'P&amp;L overview'!$G$7*'Cash Flow Statement Y1-5'!BG26</f>
        <v>57238.375643100328</v>
      </c>
      <c r="BI8" s="447">
        <f>'P&amp;L overview'!$G$7*'Cash Flow Statement Y1-5'!BH26</f>
        <v>85857.563464650491</v>
      </c>
      <c r="BJ8" s="447">
        <f>'P&amp;L overview'!$G$7*'Cash Flow Statement Y1-5'!BI26</f>
        <v>114476.75128620066</v>
      </c>
      <c r="BK8" s="447">
        <f>'P&amp;L overview'!$G$7*'Cash Flow Statement Y1-5'!BJ26</f>
        <v>128786.34519697573</v>
      </c>
      <c r="BL8" s="447">
        <f>'P&amp;L overview'!$G$7*'Cash Flow Statement Y1-5'!BK26</f>
        <v>157405.53301852589</v>
      </c>
      <c r="BM8" s="447">
        <f>'P&amp;L overview'!$G$7*'Cash Flow Statement Y1-5'!BL26</f>
        <v>186024.72084007607</v>
      </c>
      <c r="BN8" s="447">
        <f>'P&amp;L overview'!$G$7*'Cash Flow Statement Y1-5'!BM26</f>
        <v>186024.72084007607</v>
      </c>
      <c r="BO8" s="447">
        <f>'P&amp;L overview'!$G$7*'Cash Flow Statement Y1-5'!BN26</f>
        <v>171715.12692930098</v>
      </c>
    </row>
    <row r="9" spans="1:67">
      <c r="A9" s="450"/>
      <c r="B9" s="451" t="str">
        <f>'P&amp;L overview'!A8</f>
        <v xml:space="preserve">COGs </v>
      </c>
      <c r="C9" s="446"/>
      <c r="D9" s="446"/>
      <c r="E9" s="446"/>
      <c r="F9" s="446"/>
      <c r="G9" s="452">
        <f>'P&amp;L overview'!$C$8*'Cash Flow Statement Y1-5'!G32</f>
        <v>2176</v>
      </c>
      <c r="H9" s="452">
        <f>'P&amp;L overview'!$C$8*'Cash Flow Statement Y1-5'!H32</f>
        <v>2176</v>
      </c>
      <c r="I9" s="452">
        <f>'P&amp;L overview'!$C$8*'Cash Flow Statement Y1-5'!I32</f>
        <v>2720</v>
      </c>
      <c r="J9" s="452">
        <f>'P&amp;L overview'!$C$8*'Cash Flow Statement Y1-5'!J32</f>
        <v>3808.0000000000005</v>
      </c>
      <c r="K9" s="452">
        <f>'P&amp;L overview'!$C$8*'Cash Flow Statement Y1-5'!K32</f>
        <v>4352</v>
      </c>
      <c r="L9" s="452">
        <f>'P&amp;L overview'!$C$8*'Cash Flow Statement Y1-5'!L32</f>
        <v>5440</v>
      </c>
      <c r="M9" s="452">
        <f>'P&amp;L overview'!$C$8*'Cash Flow Statement Y1-5'!M32</f>
        <v>4352</v>
      </c>
      <c r="N9" s="452">
        <f>'P&amp;L overview'!$C$8*'Cash Flow Statement Y1-5'!N32</f>
        <v>4896</v>
      </c>
      <c r="O9" s="452">
        <f>'P&amp;L overview'!$C$8*'Cash Flow Statement Y1-5'!O32</f>
        <v>6528</v>
      </c>
      <c r="P9" s="452">
        <f>'P&amp;L overview'!$C$8*'Cash Flow Statement Y1-5'!P32</f>
        <v>6528</v>
      </c>
      <c r="Q9" s="452">
        <f>'P&amp;L overview'!$C$8*'Cash Flow Statement Y1-5'!Q32</f>
        <v>7072</v>
      </c>
      <c r="R9" s="453">
        <f>'P&amp;L overview'!$C$8*'Cash Flow Statement Y1-5'!R32</f>
        <v>6528</v>
      </c>
      <c r="S9" s="454">
        <f>'P&amp;L overview'!$D$8*S32</f>
        <v>4800</v>
      </c>
      <c r="T9" s="454">
        <f>'P&amp;L overview'!$D$8*T32</f>
        <v>4800</v>
      </c>
      <c r="U9" s="454">
        <f>'P&amp;L overview'!$D$8*U32</f>
        <v>5760</v>
      </c>
      <c r="V9" s="454">
        <f>'P&amp;L overview'!$D$8*V32</f>
        <v>8640</v>
      </c>
      <c r="W9" s="454">
        <f>'P&amp;L overview'!$D$8*W32</f>
        <v>3840</v>
      </c>
      <c r="X9" s="454">
        <f>'P&amp;L overview'!$D$8*X32</f>
        <v>5760</v>
      </c>
      <c r="Y9" s="454">
        <f>'P&amp;L overview'!$D$8*Y32</f>
        <v>7680</v>
      </c>
      <c r="Z9" s="454">
        <f>'P&amp;L overview'!$D$8*Z32</f>
        <v>8640</v>
      </c>
      <c r="AA9" s="454">
        <f>'P&amp;L overview'!$D$8*AA32</f>
        <v>11520</v>
      </c>
      <c r="AB9" s="454">
        <f>'P&amp;L overview'!$D$8*AB32</f>
        <v>12480</v>
      </c>
      <c r="AC9" s="454">
        <f>'P&amp;L overview'!$D$8*AC32</f>
        <v>13440.000000000002</v>
      </c>
      <c r="AD9" s="455">
        <f>'P&amp;L overview'!$D$8*AD32</f>
        <v>12480</v>
      </c>
      <c r="AE9" s="456">
        <f>'P&amp;L overview'!$E$8*'Cash Flow Statement Y1-5'!AE32</f>
        <v>7680</v>
      </c>
      <c r="AF9" s="456">
        <f>'P&amp;L overview'!$E$8*'Cash Flow Statement Y1-5'!AF32</f>
        <v>7680</v>
      </c>
      <c r="AG9" s="456">
        <f>'P&amp;L overview'!$E$8*'Cash Flow Statement Y1-5'!AG32</f>
        <v>9216</v>
      </c>
      <c r="AH9" s="456">
        <f>'P&amp;L overview'!$E$8*'Cash Flow Statement Y1-5'!AH32</f>
        <v>13824</v>
      </c>
      <c r="AI9" s="456">
        <f>'P&amp;L overview'!$E$8*'Cash Flow Statement Y1-5'!AI32</f>
        <v>6144</v>
      </c>
      <c r="AJ9" s="456">
        <f>'P&amp;L overview'!$E$8*'Cash Flow Statement Y1-5'!AJ32</f>
        <v>9216</v>
      </c>
      <c r="AK9" s="456">
        <f>'P&amp;L overview'!$E$8*'Cash Flow Statement Y1-5'!AK32</f>
        <v>12288</v>
      </c>
      <c r="AL9" s="456">
        <f>'P&amp;L overview'!$E$8*'Cash Flow Statement Y1-5'!AL32</f>
        <v>15360</v>
      </c>
      <c r="AM9" s="456">
        <f>'P&amp;L overview'!$E$8*'Cash Flow Statement Y1-5'!AM32</f>
        <v>16896</v>
      </c>
      <c r="AN9" s="456">
        <f>'P&amp;L overview'!$E$8*'Cash Flow Statement Y1-5'!AN32</f>
        <v>19968</v>
      </c>
      <c r="AO9" s="456">
        <f>'P&amp;L overview'!$E$8*'Cash Flow Statement Y1-5'!AO32</f>
        <v>19968</v>
      </c>
      <c r="AP9" s="457">
        <f>'P&amp;L overview'!$E$8*'Cash Flow Statement Y1-5'!AP32</f>
        <v>19968</v>
      </c>
      <c r="AQ9" s="447">
        <f>'P&amp;L overview'!$F$8*'Cash Flow Statement Y1-5'!AQ32</f>
        <v>13950</v>
      </c>
      <c r="AR9" s="447">
        <f>'P&amp;L overview'!$F$8*'Cash Flow Statement Y1-5'!AR32</f>
        <v>13950</v>
      </c>
      <c r="AS9" s="447">
        <f>'P&amp;L overview'!$F$8*'Cash Flow Statement Y1-5'!AS32</f>
        <v>16740</v>
      </c>
      <c r="AT9" s="447">
        <f>'P&amp;L overview'!$F$8*'Cash Flow Statement Y1-5'!AT32</f>
        <v>25110</v>
      </c>
      <c r="AU9" s="447">
        <f>'P&amp;L overview'!$F$8*'Cash Flow Statement Y1-5'!AU32</f>
        <v>11160</v>
      </c>
      <c r="AV9" s="447">
        <f>'P&amp;L overview'!$F$8*'Cash Flow Statement Y1-5'!AV32</f>
        <v>16740</v>
      </c>
      <c r="AW9" s="447">
        <f>'P&amp;L overview'!$F$8*'Cash Flow Statement Y1-5'!AW32</f>
        <v>22320</v>
      </c>
      <c r="AX9" s="447">
        <f>'P&amp;L overview'!$F$8*'Cash Flow Statement Y1-5'!AX32</f>
        <v>27900</v>
      </c>
      <c r="AY9" s="447">
        <f>'P&amp;L overview'!$F$8*'Cash Flow Statement Y1-5'!AY32</f>
        <v>30690</v>
      </c>
      <c r="AZ9" s="447">
        <f>'P&amp;L overview'!$F$8*'Cash Flow Statement Y1-5'!AZ32</f>
        <v>36270</v>
      </c>
      <c r="BA9" s="447">
        <f>'P&amp;L overview'!$F$8*'Cash Flow Statement Y1-5'!BA32</f>
        <v>36270</v>
      </c>
      <c r="BB9" s="447">
        <f>'P&amp;L overview'!$F$8*'Cash Flow Statement Y1-5'!BB32</f>
        <v>36270</v>
      </c>
      <c r="BC9" s="447">
        <f>'P&amp;L overview'!$G$8*'Cash Flow Statement Y1-5'!BC32</f>
        <v>23200</v>
      </c>
      <c r="BD9" s="447">
        <f>'P&amp;L overview'!$G$8*'Cash Flow Statement Y1-5'!BD32</f>
        <v>23200</v>
      </c>
      <c r="BE9" s="447">
        <f>'P&amp;L overview'!$G$8*'Cash Flow Statement Y1-5'!BE32</f>
        <v>27840</v>
      </c>
      <c r="BF9" s="447">
        <f>'P&amp;L overview'!$G$8*'Cash Flow Statement Y1-5'!BF32</f>
        <v>41760</v>
      </c>
      <c r="BG9" s="447">
        <f>'P&amp;L overview'!$G$8*'Cash Flow Statement Y1-5'!BG32</f>
        <v>18560</v>
      </c>
      <c r="BH9" s="447">
        <f>'P&amp;L overview'!$G$8*'Cash Flow Statement Y1-5'!BH32</f>
        <v>27840</v>
      </c>
      <c r="BI9" s="447">
        <f>'P&amp;L overview'!$G$8*'Cash Flow Statement Y1-5'!BI32</f>
        <v>37120</v>
      </c>
      <c r="BJ9" s="447">
        <f>'P&amp;L overview'!$G$8*'Cash Flow Statement Y1-5'!BJ32</f>
        <v>46400</v>
      </c>
      <c r="BK9" s="447">
        <f>'P&amp;L overview'!$G$8*'Cash Flow Statement Y1-5'!BK32</f>
        <v>51040</v>
      </c>
      <c r="BL9" s="447">
        <f>'P&amp;L overview'!$G$8*'Cash Flow Statement Y1-5'!BL32</f>
        <v>60320</v>
      </c>
      <c r="BM9" s="447">
        <f>'P&amp;L overview'!$G$8*'Cash Flow Statement Y1-5'!BM32</f>
        <v>60320</v>
      </c>
      <c r="BN9" s="447">
        <f>'P&amp;L overview'!$G$8*'Cash Flow Statement Y1-5'!BN32</f>
        <v>60320</v>
      </c>
      <c r="BO9" s="449"/>
    </row>
    <row r="10" spans="1:67">
      <c r="A10" s="450"/>
      <c r="B10" s="451" t="s">
        <v>140</v>
      </c>
      <c r="C10" s="446"/>
      <c r="D10" s="446"/>
      <c r="E10" s="446"/>
      <c r="F10" s="446"/>
      <c r="G10" s="452">
        <f>'P&amp;L overview'!$C$9*'Cash Flow Statement Y1-5'!G32</f>
        <v>0</v>
      </c>
      <c r="H10" s="452">
        <f>'P&amp;L overview'!$C$9*'Cash Flow Statement Y1-5'!H32</f>
        <v>0</v>
      </c>
      <c r="I10" s="452">
        <f>'P&amp;L overview'!$C$9*'Cash Flow Statement Y1-5'!I32</f>
        <v>0</v>
      </c>
      <c r="J10" s="452">
        <f>'P&amp;L overview'!$C$9*'Cash Flow Statement Y1-5'!J32</f>
        <v>0</v>
      </c>
      <c r="K10" s="452">
        <f>'P&amp;L overview'!$C$9*'Cash Flow Statement Y1-5'!K32</f>
        <v>0</v>
      </c>
      <c r="L10" s="452">
        <f>'P&amp;L overview'!$C$9*'Cash Flow Statement Y1-5'!L32</f>
        <v>0</v>
      </c>
      <c r="M10" s="452">
        <f>'P&amp;L overview'!$C$9*'Cash Flow Statement Y1-5'!M32</f>
        <v>0</v>
      </c>
      <c r="N10" s="452">
        <f>'P&amp;L overview'!$C$9*'Cash Flow Statement Y1-5'!N32</f>
        <v>0</v>
      </c>
      <c r="O10" s="452">
        <f>'P&amp;L overview'!$C$9*'Cash Flow Statement Y1-5'!O32</f>
        <v>0</v>
      </c>
      <c r="P10" s="452">
        <f>'P&amp;L overview'!$C$9*'Cash Flow Statement Y1-5'!P32</f>
        <v>0</v>
      </c>
      <c r="Q10" s="452">
        <f>'P&amp;L overview'!$C$9*'Cash Flow Statement Y1-5'!Q32</f>
        <v>0</v>
      </c>
      <c r="R10" s="453">
        <f>'P&amp;L overview'!$C$9*'Cash Flow Statement Y1-5'!R32</f>
        <v>0</v>
      </c>
      <c r="S10" s="454">
        <f>'P&amp;L overview'!$D$9*'Cash Flow Statement Y1-5'!S32</f>
        <v>749.99999999999989</v>
      </c>
      <c r="T10" s="454">
        <f>'P&amp;L overview'!$D$9*'Cash Flow Statement Y1-5'!T32</f>
        <v>749.99999999999989</v>
      </c>
      <c r="U10" s="454">
        <f>'P&amp;L overview'!$D$9*'Cash Flow Statement Y1-5'!U32</f>
        <v>899.99999999999977</v>
      </c>
      <c r="V10" s="454">
        <f>'P&amp;L overview'!$D$9*'Cash Flow Statement Y1-5'!V32</f>
        <v>1349.9999999999995</v>
      </c>
      <c r="W10" s="454">
        <f>'P&amp;L overview'!$D$9*'Cash Flow Statement Y1-5'!W32</f>
        <v>599.99999999999989</v>
      </c>
      <c r="X10" s="454">
        <f>'P&amp;L overview'!$D$9*'Cash Flow Statement Y1-5'!X32</f>
        <v>899.99999999999977</v>
      </c>
      <c r="Y10" s="454">
        <f>'P&amp;L overview'!$D$9*'Cash Flow Statement Y1-5'!Y32</f>
        <v>1199.9999999999998</v>
      </c>
      <c r="Z10" s="454">
        <f>'P&amp;L overview'!$D$9*'Cash Flow Statement Y1-5'!Z32</f>
        <v>1349.9999999999995</v>
      </c>
      <c r="AA10" s="454">
        <f>'P&amp;L overview'!$D$9*'Cash Flow Statement Y1-5'!AA32</f>
        <v>1799.9999999999995</v>
      </c>
      <c r="AB10" s="454">
        <f>'P&amp;L overview'!$D$9*'Cash Flow Statement Y1-5'!AB32</f>
        <v>1949.9999999999995</v>
      </c>
      <c r="AC10" s="454">
        <f>'P&amp;L overview'!$D$9*'Cash Flow Statement Y1-5'!AC32</f>
        <v>2099.9999999999995</v>
      </c>
      <c r="AD10" s="455">
        <f>'P&amp;L overview'!$D$9*'Cash Flow Statement Y1-5'!AD32</f>
        <v>1949.9999999999995</v>
      </c>
      <c r="AE10" s="456">
        <f>'P&amp;L overview'!$E$9*'Cash Flow Statement Y1-5'!AE32</f>
        <v>2399.9999999999995</v>
      </c>
      <c r="AF10" s="456">
        <f>'P&amp;L overview'!$E$9*'Cash Flow Statement Y1-5'!AF32</f>
        <v>2399.9999999999995</v>
      </c>
      <c r="AG10" s="456">
        <f>'P&amp;L overview'!$E$9*'Cash Flow Statement Y1-5'!AG32</f>
        <v>2879.9999999999991</v>
      </c>
      <c r="AH10" s="456">
        <f>'P&amp;L overview'!$E$9*'Cash Flow Statement Y1-5'!AH32</f>
        <v>4319.9999999999982</v>
      </c>
      <c r="AI10" s="456">
        <f>'P&amp;L overview'!$E$9*'Cash Flow Statement Y1-5'!AI32</f>
        <v>1919.9999999999995</v>
      </c>
      <c r="AJ10" s="456">
        <f>'P&amp;L overview'!$E$9*'Cash Flow Statement Y1-5'!AJ32</f>
        <v>2879.9999999999991</v>
      </c>
      <c r="AK10" s="456">
        <f>'P&amp;L overview'!$E$9*'Cash Flow Statement Y1-5'!AK32</f>
        <v>3839.9999999999991</v>
      </c>
      <c r="AL10" s="456">
        <f>'P&amp;L overview'!$E$9*'Cash Flow Statement Y1-5'!AL32</f>
        <v>4799.9999999999991</v>
      </c>
      <c r="AM10" s="456">
        <f>'P&amp;L overview'!$E$9*'Cash Flow Statement Y1-5'!AM32</f>
        <v>5279.9999999999982</v>
      </c>
      <c r="AN10" s="456">
        <f>'P&amp;L overview'!$E$9*'Cash Flow Statement Y1-5'!AN32</f>
        <v>6239.9999999999982</v>
      </c>
      <c r="AO10" s="456">
        <f>'P&amp;L overview'!$E$9*'Cash Flow Statement Y1-5'!AO32</f>
        <v>6239.9999999999982</v>
      </c>
      <c r="AP10" s="457">
        <f>'P&amp;L overview'!$E$9*'Cash Flow Statement Y1-5'!AP32</f>
        <v>6239.9999999999982</v>
      </c>
      <c r="AQ10" s="447">
        <f>'P&amp;L overview'!$F$9*'Cash Flow Statement Y1-5'!AQ32</f>
        <v>5625</v>
      </c>
      <c r="AR10" s="447">
        <f>'P&amp;L overview'!$F$9*'Cash Flow Statement Y1-5'!AR32</f>
        <v>5625</v>
      </c>
      <c r="AS10" s="447">
        <f>'P&amp;L overview'!$F$9*'Cash Flow Statement Y1-5'!AS32</f>
        <v>6750</v>
      </c>
      <c r="AT10" s="447">
        <f>'P&amp;L overview'!$F$9*'Cash Flow Statement Y1-5'!AT32</f>
        <v>10125</v>
      </c>
      <c r="AU10" s="447">
        <f>'P&amp;L overview'!$F$9*'Cash Flow Statement Y1-5'!AU32</f>
        <v>4500</v>
      </c>
      <c r="AV10" s="447">
        <f>'P&amp;L overview'!$F$9*'Cash Flow Statement Y1-5'!AV32</f>
        <v>6750</v>
      </c>
      <c r="AW10" s="447">
        <f>'P&amp;L overview'!$F$9*'Cash Flow Statement Y1-5'!AW32</f>
        <v>9000</v>
      </c>
      <c r="AX10" s="447">
        <f>'P&amp;L overview'!$F$9*'Cash Flow Statement Y1-5'!AX32</f>
        <v>11250</v>
      </c>
      <c r="AY10" s="447">
        <f>'P&amp;L overview'!$F$9*'Cash Flow Statement Y1-5'!AY32</f>
        <v>12375</v>
      </c>
      <c r="AZ10" s="447">
        <f>'P&amp;L overview'!$F$9*'Cash Flow Statement Y1-5'!AZ32</f>
        <v>14625</v>
      </c>
      <c r="BA10" s="447">
        <f>'P&amp;L overview'!$F$9*'Cash Flow Statement Y1-5'!BA32</f>
        <v>14625</v>
      </c>
      <c r="BB10" s="447">
        <f>'P&amp;L overview'!$F$9*'Cash Flow Statement Y1-5'!BB32</f>
        <v>14625</v>
      </c>
      <c r="BC10" s="447">
        <f>'P&amp;L overview'!$G$9*'Cash Flow Statement Y1-5'!BC32</f>
        <v>14000</v>
      </c>
      <c r="BD10" s="447">
        <f>'P&amp;L overview'!$G$9*'Cash Flow Statement Y1-5'!BD32</f>
        <v>14000</v>
      </c>
      <c r="BE10" s="447">
        <f>'P&amp;L overview'!$G$9*'Cash Flow Statement Y1-5'!BE32</f>
        <v>16800</v>
      </c>
      <c r="BF10" s="447">
        <f>'P&amp;L overview'!$G$9*'Cash Flow Statement Y1-5'!BF32</f>
        <v>25200</v>
      </c>
      <c r="BG10" s="447">
        <f>'P&amp;L overview'!$G$9*'Cash Flow Statement Y1-5'!BG32</f>
        <v>11200</v>
      </c>
      <c r="BH10" s="447">
        <f>'P&amp;L overview'!$G$9*'Cash Flow Statement Y1-5'!BH32</f>
        <v>16800</v>
      </c>
      <c r="BI10" s="447">
        <f>'P&amp;L overview'!$G$9*'Cash Flow Statement Y1-5'!BI32</f>
        <v>22400</v>
      </c>
      <c r="BJ10" s="447">
        <f>'P&amp;L overview'!$G$9*'Cash Flow Statement Y1-5'!BJ32</f>
        <v>28000</v>
      </c>
      <c r="BK10" s="447">
        <f>'P&amp;L overview'!$G$9*'Cash Flow Statement Y1-5'!BK32</f>
        <v>30800</v>
      </c>
      <c r="BL10" s="447">
        <f>'P&amp;L overview'!$G$9*'Cash Flow Statement Y1-5'!BL32</f>
        <v>36400</v>
      </c>
      <c r="BM10" s="447">
        <f>'P&amp;L overview'!$G$9*'Cash Flow Statement Y1-5'!BM32</f>
        <v>36400</v>
      </c>
      <c r="BN10" s="447">
        <f>'P&amp;L overview'!$G$9*'Cash Flow Statement Y1-5'!BN32</f>
        <v>36400</v>
      </c>
      <c r="BO10" s="449"/>
    </row>
    <row r="11" spans="1:67">
      <c r="A11" s="450"/>
      <c r="B11" s="451" t="str">
        <f>'P&amp;L overview'!A10</f>
        <v>Total Salaries &amp; Bonuses</v>
      </c>
      <c r="C11" s="446"/>
      <c r="D11" s="446"/>
      <c r="E11" s="446"/>
      <c r="F11" s="446"/>
      <c r="G11" s="458">
        <v>8158</v>
      </c>
      <c r="H11" s="459">
        <f>G11</f>
        <v>8158</v>
      </c>
      <c r="I11" s="459">
        <f>G11</f>
        <v>8158</v>
      </c>
      <c r="J11" s="459">
        <f>G11</f>
        <v>8158</v>
      </c>
      <c r="K11" s="459">
        <f>G11</f>
        <v>8158</v>
      </c>
      <c r="L11" s="459">
        <f>G11</f>
        <v>8158</v>
      </c>
      <c r="M11" s="459">
        <f>G11</f>
        <v>8158</v>
      </c>
      <c r="N11" s="459">
        <f>G11</f>
        <v>8158</v>
      </c>
      <c r="O11" s="459">
        <f>G11</f>
        <v>8158</v>
      </c>
      <c r="P11" s="459">
        <f>G11</f>
        <v>8158</v>
      </c>
      <c r="Q11" s="459">
        <f>G11</f>
        <v>8158</v>
      </c>
      <c r="R11" s="460">
        <f>G11</f>
        <v>8158</v>
      </c>
      <c r="S11" s="454">
        <v>12634.16</v>
      </c>
      <c r="T11" s="454">
        <f>S11</f>
        <v>12634.16</v>
      </c>
      <c r="U11" s="461">
        <f>S11</f>
        <v>12634.16</v>
      </c>
      <c r="V11" s="454">
        <f>S11</f>
        <v>12634.16</v>
      </c>
      <c r="W11" s="454">
        <f>S11</f>
        <v>12634.16</v>
      </c>
      <c r="X11" s="454">
        <f>S11</f>
        <v>12634.16</v>
      </c>
      <c r="Y11" s="454">
        <f>S11</f>
        <v>12634.16</v>
      </c>
      <c r="Z11" s="454">
        <f>S11</f>
        <v>12634.16</v>
      </c>
      <c r="AA11" s="454">
        <f>S11</f>
        <v>12634.16</v>
      </c>
      <c r="AB11" s="454">
        <f>S11</f>
        <v>12634.16</v>
      </c>
      <c r="AC11" s="454">
        <f>U11</f>
        <v>12634.16</v>
      </c>
      <c r="AD11" s="455">
        <f>U11</f>
        <v>12634.16</v>
      </c>
      <c r="AE11" s="462">
        <f>'P&amp;L overview'!$E$10*'Cash Flow Statement Y1-5'!AE36</f>
        <v>18502.325274999999</v>
      </c>
      <c r="AF11" s="456">
        <f>'P&amp;L overview'!$E$10*'Cash Flow Statement Y1-5'!AF36</f>
        <v>18502.325274999999</v>
      </c>
      <c r="AG11" s="456">
        <f>'P&amp;L overview'!$E$10*'Cash Flow Statement Y1-5'!AG36</f>
        <v>18502.325274999999</v>
      </c>
      <c r="AH11" s="456">
        <f>'P&amp;L overview'!$E$10*'Cash Flow Statement Y1-5'!AH36</f>
        <v>18502.325274999999</v>
      </c>
      <c r="AI11" s="456">
        <f>'P&amp;L overview'!$E$10*'Cash Flow Statement Y1-5'!AI36</f>
        <v>18502.325274999999</v>
      </c>
      <c r="AJ11" s="456">
        <f>'P&amp;L overview'!$E$10*'Cash Flow Statement Y1-5'!AJ36</f>
        <v>18502.325274999999</v>
      </c>
      <c r="AK11" s="456">
        <f>'P&amp;L overview'!$E$10*'Cash Flow Statement Y1-5'!AK36</f>
        <v>18502.325274999999</v>
      </c>
      <c r="AL11" s="456">
        <f>'P&amp;L overview'!$E$10*'Cash Flow Statement Y1-5'!AL36</f>
        <v>18502.325274999999</v>
      </c>
      <c r="AM11" s="456">
        <f>'P&amp;L overview'!$E$10*'Cash Flow Statement Y1-5'!AM36</f>
        <v>18502.325274999999</v>
      </c>
      <c r="AN11" s="456">
        <f>'P&amp;L overview'!$E$10*'Cash Flow Statement Y1-5'!AN36</f>
        <v>18502.325274999999</v>
      </c>
      <c r="AO11" s="456">
        <f>'P&amp;L overview'!$E$10*'Cash Flow Statement Y1-5'!AO36</f>
        <v>18502.325274999999</v>
      </c>
      <c r="AP11" s="457">
        <f>'P&amp;L overview'!$E$10*'Cash Flow Statement Y1-5'!AP36</f>
        <v>18502.325274999999</v>
      </c>
      <c r="AQ11" s="447">
        <f>'P&amp;L overview'!$F$10*'Cash Flow Statement Y1-5'!AQ36</f>
        <v>31222.721538749996</v>
      </c>
      <c r="AR11" s="447">
        <f>'P&amp;L overview'!$F$10*'Cash Flow Statement Y1-5'!AR36</f>
        <v>31222.721538749996</v>
      </c>
      <c r="AS11" s="447">
        <f>'P&amp;L overview'!$F$10*'Cash Flow Statement Y1-5'!AS36</f>
        <v>31222.721538749996</v>
      </c>
      <c r="AT11" s="447">
        <f>'P&amp;L overview'!$F$10*'Cash Flow Statement Y1-5'!AT36</f>
        <v>31222.721538749996</v>
      </c>
      <c r="AU11" s="447">
        <f>'P&amp;L overview'!$F$10*'Cash Flow Statement Y1-5'!AU36</f>
        <v>31222.721538749996</v>
      </c>
      <c r="AV11" s="447">
        <f>'P&amp;L overview'!$F$10*'Cash Flow Statement Y1-5'!AV36</f>
        <v>31222.721538749996</v>
      </c>
      <c r="AW11" s="447">
        <f>'P&amp;L overview'!$F$10*'Cash Flow Statement Y1-5'!AW36</f>
        <v>31222.721538749996</v>
      </c>
      <c r="AX11" s="447">
        <f>'P&amp;L overview'!$F$10*'Cash Flow Statement Y1-5'!AX36</f>
        <v>31222.721538749996</v>
      </c>
      <c r="AY11" s="447">
        <f>'P&amp;L overview'!$F$10*'Cash Flow Statement Y1-5'!AY36</f>
        <v>31222.721538749996</v>
      </c>
      <c r="AZ11" s="447">
        <f>'P&amp;L overview'!$F$10*'Cash Flow Statement Y1-5'!AZ36</f>
        <v>31222.721538749996</v>
      </c>
      <c r="BA11" s="447">
        <f>'P&amp;L overview'!$F$10*'Cash Flow Statement Y1-5'!BA36</f>
        <v>31222.721538749996</v>
      </c>
      <c r="BB11" s="447">
        <f>'P&amp;L overview'!$F$10*'Cash Flow Statement Y1-5'!BB36</f>
        <v>31222.721538749996</v>
      </c>
      <c r="BC11" s="447">
        <f>'P&amp;L overview'!$G$10*'Cash Flow Statement Y1-5'!BC36</f>
        <v>36836.967785362503</v>
      </c>
      <c r="BD11" s="447">
        <f>'P&amp;L overview'!$G$10*'Cash Flow Statement Y1-5'!BD36</f>
        <v>36836.967785362503</v>
      </c>
      <c r="BE11" s="447">
        <f>'P&amp;L overview'!$G$10*'Cash Flow Statement Y1-5'!BE36</f>
        <v>36836.967785362503</v>
      </c>
      <c r="BF11" s="447">
        <f>'P&amp;L overview'!$G$10*'Cash Flow Statement Y1-5'!BF36</f>
        <v>36836.967785362503</v>
      </c>
      <c r="BG11" s="447">
        <f>'P&amp;L overview'!$G$10*'Cash Flow Statement Y1-5'!BG36</f>
        <v>36836.967785362503</v>
      </c>
      <c r="BH11" s="447">
        <f>'P&amp;L overview'!$G$10*'Cash Flow Statement Y1-5'!BH36</f>
        <v>36836.967785362503</v>
      </c>
      <c r="BI11" s="447">
        <f>'P&amp;L overview'!$G$10*'Cash Flow Statement Y1-5'!BI36</f>
        <v>36836.967785362503</v>
      </c>
      <c r="BJ11" s="447">
        <f>'P&amp;L overview'!$G$10*'Cash Flow Statement Y1-5'!BJ36</f>
        <v>36836.967785362503</v>
      </c>
      <c r="BK11" s="447">
        <f>'P&amp;L overview'!$G$10*'Cash Flow Statement Y1-5'!BK36</f>
        <v>36836.967785362503</v>
      </c>
      <c r="BL11" s="447">
        <f>'P&amp;L overview'!$G$10*'Cash Flow Statement Y1-5'!BL36</f>
        <v>36836.967785362503</v>
      </c>
      <c r="BM11" s="447">
        <f>'P&amp;L overview'!$G$10*'Cash Flow Statement Y1-5'!BM36</f>
        <v>36836.967785362503</v>
      </c>
      <c r="BN11" s="447">
        <f>'P&amp;L overview'!$G$10*'Cash Flow Statement Y1-5'!BN36</f>
        <v>36836.967785362503</v>
      </c>
      <c r="BO11" s="449"/>
    </row>
    <row r="12" spans="1:67">
      <c r="A12" s="450"/>
      <c r="B12" s="451" t="str">
        <f>'P&amp;L overview'!A11</f>
        <v xml:space="preserve">Corporate Compliance </v>
      </c>
      <c r="C12" s="446"/>
      <c r="D12" s="446"/>
      <c r="E12" s="446"/>
      <c r="F12" s="446"/>
      <c r="G12" s="452">
        <f>'P&amp;L overview'!$C$11*'Cash Flow Statement Y1-5'!G36</f>
        <v>3056.4000000000005</v>
      </c>
      <c r="H12" s="452">
        <f>'P&amp;L overview'!$C$11*'Cash Flow Statement Y1-5'!H36</f>
        <v>3056.4000000000005</v>
      </c>
      <c r="I12" s="452">
        <f>'P&amp;L overview'!$C$11*'Cash Flow Statement Y1-5'!I36</f>
        <v>2445.1200000000003</v>
      </c>
      <c r="J12" s="452">
        <f>'P&amp;L overview'!$C$11*'Cash Flow Statement Y1-5'!J36</f>
        <v>2445.1200000000003</v>
      </c>
      <c r="K12" s="452">
        <f>'P&amp;L overview'!$C$11*'Cash Flow Statement Y1-5'!K36</f>
        <v>3056.4000000000005</v>
      </c>
      <c r="L12" s="452">
        <f>'P&amp;L overview'!$C$11*'Cash Flow Statement Y1-5'!L36</f>
        <v>3056.4000000000005</v>
      </c>
      <c r="M12" s="452">
        <f>'P&amp;L overview'!$C$11*'Cash Flow Statement Y1-5'!M36</f>
        <v>1528.2000000000003</v>
      </c>
      <c r="N12" s="452">
        <f>'P&amp;L overview'!$C$11*'Cash Flow Statement Y1-5'!N36</f>
        <v>2139.4800000000005</v>
      </c>
      <c r="O12" s="452">
        <f>'P&amp;L overview'!$C$11*'Cash Flow Statement Y1-5'!O36</f>
        <v>2445.1200000000003</v>
      </c>
      <c r="P12" s="452">
        <f>'P&amp;L overview'!$C$11*'Cash Flow Statement Y1-5'!P36</f>
        <v>2445.1200000000003</v>
      </c>
      <c r="Q12" s="452">
        <f>'P&amp;L overview'!$C$11*'Cash Flow Statement Y1-5'!Q36</f>
        <v>2445.1200000000003</v>
      </c>
      <c r="R12" s="453">
        <f>'P&amp;L overview'!$C$11*'Cash Flow Statement Y1-5'!R36</f>
        <v>2445.1200000000003</v>
      </c>
      <c r="S12" s="454">
        <f>'P&amp;L overview'!$D$11*'Cash Flow Statement Y1-5'!S36</f>
        <v>4607.0006290000001</v>
      </c>
      <c r="T12" s="454">
        <f>'P&amp;L overview'!$D$11*'Cash Flow Statement Y1-5'!T36</f>
        <v>4607.0006290000001</v>
      </c>
      <c r="U12" s="454">
        <f>'P&amp;L overview'!$D$11*'Cash Flow Statement Y1-5'!U36</f>
        <v>4607.0006290000001</v>
      </c>
      <c r="V12" s="454">
        <f>'P&amp;L overview'!$D$11*'Cash Flow Statement Y1-5'!V36</f>
        <v>4607.0006290000001</v>
      </c>
      <c r="W12" s="454">
        <f>'P&amp;L overview'!$D$11*'Cash Flow Statement Y1-5'!W36</f>
        <v>4607.0006290000001</v>
      </c>
      <c r="X12" s="454">
        <f>'P&amp;L overview'!$D$11*'Cash Flow Statement Y1-5'!X36</f>
        <v>4607.0006290000001</v>
      </c>
      <c r="Y12" s="454">
        <f>'P&amp;L overview'!$D$11*'Cash Flow Statement Y1-5'!Y36</f>
        <v>4607.0006290000001</v>
      </c>
      <c r="Z12" s="454">
        <f>'P&amp;L overview'!$D$11*'Cash Flow Statement Y1-5'!Z36</f>
        <v>4607.0006290000001</v>
      </c>
      <c r="AA12" s="454">
        <f>'P&amp;L overview'!$D$11*'Cash Flow Statement Y1-5'!AA36</f>
        <v>4607.0006290000001</v>
      </c>
      <c r="AB12" s="454">
        <f>'P&amp;L overview'!$D$11*'Cash Flow Statement Y1-5'!AB36</f>
        <v>4607.0006290000001</v>
      </c>
      <c r="AC12" s="454">
        <f>'P&amp;L overview'!$D$11*'Cash Flow Statement Y1-5'!AC36</f>
        <v>4607.0006290000001</v>
      </c>
      <c r="AD12" s="455">
        <f>'P&amp;L overview'!$D$11*'Cash Flow Statement Y1-5'!AD36</f>
        <v>4607.0006290000001</v>
      </c>
      <c r="AE12" s="456">
        <f>'P&amp;L overview'!$E$11*'Cash Flow Statement Y1-5'!AE36</f>
        <v>6142.62834045</v>
      </c>
      <c r="AF12" s="456">
        <f>'P&amp;L overview'!$E$11*'Cash Flow Statement Y1-5'!AF36</f>
        <v>6142.62834045</v>
      </c>
      <c r="AG12" s="456">
        <f>'P&amp;L overview'!$E$11*'Cash Flow Statement Y1-5'!AG36</f>
        <v>6142.62834045</v>
      </c>
      <c r="AH12" s="456">
        <f>'P&amp;L overview'!$E$11*'Cash Flow Statement Y1-5'!AH36</f>
        <v>6142.62834045</v>
      </c>
      <c r="AI12" s="456">
        <f>'P&amp;L overview'!$E$11*'Cash Flow Statement Y1-5'!AI36</f>
        <v>6142.62834045</v>
      </c>
      <c r="AJ12" s="456">
        <f>'P&amp;L overview'!$E$11*'Cash Flow Statement Y1-5'!AJ36</f>
        <v>6142.62834045</v>
      </c>
      <c r="AK12" s="456">
        <f>'P&amp;L overview'!$E$11*'Cash Flow Statement Y1-5'!AK36</f>
        <v>6142.62834045</v>
      </c>
      <c r="AL12" s="456">
        <f>'P&amp;L overview'!$E$11*'Cash Flow Statement Y1-5'!AL36</f>
        <v>6142.62834045</v>
      </c>
      <c r="AM12" s="456">
        <f>'P&amp;L overview'!$E$11*'Cash Flow Statement Y1-5'!AM36</f>
        <v>6142.62834045</v>
      </c>
      <c r="AN12" s="456">
        <f>'P&amp;L overview'!$E$11*'Cash Flow Statement Y1-5'!AN36</f>
        <v>6142.62834045</v>
      </c>
      <c r="AO12" s="456">
        <f>'P&amp;L overview'!$E$11*'Cash Flow Statement Y1-5'!AO36</f>
        <v>6142.62834045</v>
      </c>
      <c r="AP12" s="457">
        <f>'P&amp;L overview'!$E$11*'Cash Flow Statement Y1-5'!AP36</f>
        <v>6142.62834045</v>
      </c>
      <c r="AQ12" s="447">
        <f>'P&amp;L overview'!$F$11*'Cash Flow Statement Y1-5'!AQ36</f>
        <v>8927.8347974724984</v>
      </c>
      <c r="AR12" s="447">
        <f>'P&amp;L overview'!$F$11*'Cash Flow Statement Y1-5'!AR36</f>
        <v>8927.8347974724984</v>
      </c>
      <c r="AS12" s="447">
        <f>'P&amp;L overview'!$F$11*'Cash Flow Statement Y1-5'!AS36</f>
        <v>8927.8347974724984</v>
      </c>
      <c r="AT12" s="447">
        <f>'P&amp;L overview'!$F$11*'Cash Flow Statement Y1-5'!AT36</f>
        <v>8927.8347974724984</v>
      </c>
      <c r="AU12" s="447">
        <f>'P&amp;L overview'!$F$11*'Cash Flow Statement Y1-5'!AU36</f>
        <v>8927.8347974724984</v>
      </c>
      <c r="AV12" s="447">
        <f>'P&amp;L overview'!$F$11*'Cash Flow Statement Y1-5'!AV36</f>
        <v>8927.8347974724984</v>
      </c>
      <c r="AW12" s="447">
        <f>'P&amp;L overview'!$F$11*'Cash Flow Statement Y1-5'!AW36</f>
        <v>8927.8347974724984</v>
      </c>
      <c r="AX12" s="447">
        <f>'P&amp;L overview'!$F$11*'Cash Flow Statement Y1-5'!AX36</f>
        <v>8927.8347974724984</v>
      </c>
      <c r="AY12" s="447">
        <f>'P&amp;L overview'!$F$11*'Cash Flow Statement Y1-5'!AY36</f>
        <v>8927.8347974724984</v>
      </c>
      <c r="AZ12" s="447">
        <f>'P&amp;L overview'!$F$11*'Cash Flow Statement Y1-5'!AZ36</f>
        <v>8927.8347974724984</v>
      </c>
      <c r="BA12" s="447">
        <f>'P&amp;L overview'!$F$11*'Cash Flow Statement Y1-5'!BA36</f>
        <v>8927.8347974724984</v>
      </c>
      <c r="BB12" s="447">
        <f>'P&amp;L overview'!$F$11*'Cash Flow Statement Y1-5'!BB36</f>
        <v>8927.8347974724984</v>
      </c>
      <c r="BC12" s="447">
        <f>'P&amp;L overview'!$G$11*'Cash Flow Statement Y1-5'!BC36</f>
        <v>10234.518640761276</v>
      </c>
      <c r="BD12" s="447">
        <f>'P&amp;L overview'!$G$11*'Cash Flow Statement Y1-5'!BD36</f>
        <v>10234.518640761276</v>
      </c>
      <c r="BE12" s="447">
        <f>'P&amp;L overview'!$G$11*'Cash Flow Statement Y1-5'!BE36</f>
        <v>10234.518640761276</v>
      </c>
      <c r="BF12" s="447">
        <f>'P&amp;L overview'!$G$11*'Cash Flow Statement Y1-5'!BF36</f>
        <v>10234.518640761276</v>
      </c>
      <c r="BG12" s="447">
        <f>'P&amp;L overview'!$G$11*'Cash Flow Statement Y1-5'!BG36</f>
        <v>10234.518640761276</v>
      </c>
      <c r="BH12" s="447">
        <f>'P&amp;L overview'!$G$11*'Cash Flow Statement Y1-5'!BH36</f>
        <v>10234.518640761276</v>
      </c>
      <c r="BI12" s="447">
        <f>'P&amp;L overview'!$G$11*'Cash Flow Statement Y1-5'!BI36</f>
        <v>10234.518640761276</v>
      </c>
      <c r="BJ12" s="447">
        <f>'P&amp;L overview'!$G$11*'Cash Flow Statement Y1-5'!BJ36</f>
        <v>10234.518640761276</v>
      </c>
      <c r="BK12" s="447">
        <f>'P&amp;L overview'!$G$11*'Cash Flow Statement Y1-5'!BK36</f>
        <v>10234.518640761276</v>
      </c>
      <c r="BL12" s="447">
        <f>'P&amp;L overview'!$G$11*'Cash Flow Statement Y1-5'!BL36</f>
        <v>10234.518640761276</v>
      </c>
      <c r="BM12" s="447">
        <f>'P&amp;L overview'!$G$11*'Cash Flow Statement Y1-5'!BM36</f>
        <v>10234.518640761276</v>
      </c>
      <c r="BN12" s="447">
        <f>'P&amp;L overview'!$G$11*'Cash Flow Statement Y1-5'!BN36</f>
        <v>10234.518640761276</v>
      </c>
      <c r="BO12" s="449"/>
    </row>
    <row r="13" spans="1:67">
      <c r="A13" s="450"/>
      <c r="B13" s="451" t="str">
        <f>'P&amp;L overview'!A12</f>
        <v xml:space="preserve">Development </v>
      </c>
      <c r="C13" s="446"/>
      <c r="D13" s="446"/>
      <c r="E13" s="446"/>
      <c r="F13" s="446"/>
      <c r="G13" s="463">
        <v>0</v>
      </c>
      <c r="H13" s="454">
        <v>0</v>
      </c>
      <c r="I13" s="454">
        <v>0</v>
      </c>
      <c r="J13" s="454">
        <v>0</v>
      </c>
      <c r="K13" s="454">
        <v>0</v>
      </c>
      <c r="L13" s="454">
        <v>0</v>
      </c>
      <c r="M13" s="454">
        <f>'P&amp;L overview'!$C$12/6</f>
        <v>0</v>
      </c>
      <c r="N13" s="454">
        <f>'P&amp;L overview'!$C$12/6</f>
        <v>0</v>
      </c>
      <c r="O13" s="454">
        <f>'P&amp;L overview'!$C$12/6</f>
        <v>0</v>
      </c>
      <c r="P13" s="454">
        <f>'P&amp;L overview'!$C$12/6</f>
        <v>0</v>
      </c>
      <c r="Q13" s="454">
        <f>'P&amp;L overview'!$C$12/6</f>
        <v>0</v>
      </c>
      <c r="R13" s="455">
        <f>'P&amp;L overview'!$C$12/6</f>
        <v>0</v>
      </c>
      <c r="S13" s="454">
        <f>'P&amp;L overview'!$D$12*'Cash Flow Statement Y1-5'!S36</f>
        <v>728.875</v>
      </c>
      <c r="T13" s="454">
        <f>'P&amp;L overview'!$D$12*'Cash Flow Statement Y1-5'!T36</f>
        <v>728.875</v>
      </c>
      <c r="U13" s="454">
        <f>'P&amp;L overview'!$D$12*'Cash Flow Statement Y1-5'!U36</f>
        <v>728.875</v>
      </c>
      <c r="V13" s="454">
        <f>'P&amp;L overview'!$D$12*'Cash Flow Statement Y1-5'!V36</f>
        <v>728.875</v>
      </c>
      <c r="W13" s="454">
        <f>'P&amp;L overview'!$D$12*'Cash Flow Statement Y1-5'!W36</f>
        <v>728.875</v>
      </c>
      <c r="X13" s="454">
        <f>'P&amp;L overview'!$D$12*'Cash Flow Statement Y1-5'!X36</f>
        <v>728.875</v>
      </c>
      <c r="Y13" s="454">
        <f>'P&amp;L overview'!$D$12*'Cash Flow Statement Y1-5'!Y36</f>
        <v>728.875</v>
      </c>
      <c r="Z13" s="454">
        <f>'P&amp;L overview'!$D$12*'Cash Flow Statement Y1-5'!Z36</f>
        <v>728.875</v>
      </c>
      <c r="AA13" s="454">
        <f>'P&amp;L overview'!$D$12*'Cash Flow Statement Y1-5'!AA36</f>
        <v>728.875</v>
      </c>
      <c r="AB13" s="454">
        <f>'P&amp;L overview'!$D$12*'Cash Flow Statement Y1-5'!AB36</f>
        <v>728.875</v>
      </c>
      <c r="AC13" s="454">
        <f>'P&amp;L overview'!$D$12*'Cash Flow Statement Y1-5'!AC36</f>
        <v>728.875</v>
      </c>
      <c r="AD13" s="455">
        <f>'P&amp;L overview'!$D$12*'Cash Flow Statement Y1-5'!AD36</f>
        <v>728.875</v>
      </c>
      <c r="AE13" s="456">
        <f>'P&amp;L overview'!$E$12*'Cash Flow Statement Y1-5'!AE36</f>
        <v>937.125</v>
      </c>
      <c r="AF13" s="456">
        <f>'P&amp;L overview'!$E$12*'Cash Flow Statement Y1-5'!AF36</f>
        <v>937.125</v>
      </c>
      <c r="AG13" s="456">
        <f>'P&amp;L overview'!$E$12*'Cash Flow Statement Y1-5'!AG36</f>
        <v>937.125</v>
      </c>
      <c r="AH13" s="456">
        <f>'P&amp;L overview'!$E$12*'Cash Flow Statement Y1-5'!AH36</f>
        <v>937.125</v>
      </c>
      <c r="AI13" s="456">
        <f>'P&amp;L overview'!$E$12*'Cash Flow Statement Y1-5'!AI36</f>
        <v>937.125</v>
      </c>
      <c r="AJ13" s="456">
        <f>'P&amp;L overview'!$E$12*'Cash Flow Statement Y1-5'!AJ36</f>
        <v>937.125</v>
      </c>
      <c r="AK13" s="456">
        <f>'P&amp;L overview'!$E$12*'Cash Flow Statement Y1-5'!AK36</f>
        <v>937.125</v>
      </c>
      <c r="AL13" s="456">
        <f>'P&amp;L overview'!$E$12*'Cash Flow Statement Y1-5'!AL36</f>
        <v>937.125</v>
      </c>
      <c r="AM13" s="456">
        <f>'P&amp;L overview'!$E$12*'Cash Flow Statement Y1-5'!AM36</f>
        <v>937.125</v>
      </c>
      <c r="AN13" s="456">
        <f>'P&amp;L overview'!$E$12*'Cash Flow Statement Y1-5'!AN36</f>
        <v>937.125</v>
      </c>
      <c r="AO13" s="456">
        <f>'P&amp;L overview'!$E$12*'Cash Flow Statement Y1-5'!AO36</f>
        <v>937.125</v>
      </c>
      <c r="AP13" s="457">
        <f>'P&amp;L overview'!$E$12*'Cash Flow Statement Y1-5'!AP36</f>
        <v>937.125</v>
      </c>
      <c r="AQ13" s="447">
        <f>'P&amp;L overview'!$F$12*'Cash Flow Statement Y1-5'!AQ36</f>
        <v>1457.75</v>
      </c>
      <c r="AR13" s="447">
        <f>'P&amp;L overview'!$F$12*'Cash Flow Statement Y1-5'!AR36</f>
        <v>1457.75</v>
      </c>
      <c r="AS13" s="447">
        <f>'P&amp;L overview'!$F$12*'Cash Flow Statement Y1-5'!AS36</f>
        <v>1457.75</v>
      </c>
      <c r="AT13" s="447">
        <f>'P&amp;L overview'!$F$12*'Cash Flow Statement Y1-5'!AT36</f>
        <v>1457.75</v>
      </c>
      <c r="AU13" s="447">
        <f>'P&amp;L overview'!$F$12*'Cash Flow Statement Y1-5'!AU36</f>
        <v>1457.75</v>
      </c>
      <c r="AV13" s="447">
        <f>'P&amp;L overview'!$F$12*'Cash Flow Statement Y1-5'!AV36</f>
        <v>1457.75</v>
      </c>
      <c r="AW13" s="447">
        <f>'P&amp;L overview'!$F$12*'Cash Flow Statement Y1-5'!AW36</f>
        <v>1457.75</v>
      </c>
      <c r="AX13" s="447">
        <f>'P&amp;L overview'!$F$12*'Cash Flow Statement Y1-5'!AX36</f>
        <v>1457.75</v>
      </c>
      <c r="AY13" s="447">
        <f>'P&amp;L overview'!$F$12*'Cash Flow Statement Y1-5'!AY36</f>
        <v>1457.75</v>
      </c>
      <c r="AZ13" s="447">
        <f>'P&amp;L overview'!$F$12*'Cash Flow Statement Y1-5'!AZ36</f>
        <v>1457.75</v>
      </c>
      <c r="BA13" s="447">
        <f>'P&amp;L overview'!$F$12*'Cash Flow Statement Y1-5'!BA36</f>
        <v>1457.75</v>
      </c>
      <c r="BB13" s="447">
        <f>'P&amp;L overview'!$F$12*'Cash Flow Statement Y1-5'!BB36</f>
        <v>1457.75</v>
      </c>
      <c r="BC13" s="447">
        <f>'P&amp;L overview'!$G$12*'Cash Flow Statement Y1-5'!BC36</f>
        <v>1666</v>
      </c>
      <c r="BD13" s="447">
        <f>'P&amp;L overview'!$G$12*'Cash Flow Statement Y1-5'!BD36</f>
        <v>1666</v>
      </c>
      <c r="BE13" s="447">
        <f>'P&amp;L overview'!$G$12*'Cash Flow Statement Y1-5'!BE36</f>
        <v>1666</v>
      </c>
      <c r="BF13" s="447">
        <f>'P&amp;L overview'!$G$12*'Cash Flow Statement Y1-5'!BF36</f>
        <v>1666</v>
      </c>
      <c r="BG13" s="447">
        <f>'P&amp;L overview'!$G$12*'Cash Flow Statement Y1-5'!BG36</f>
        <v>1666</v>
      </c>
      <c r="BH13" s="447">
        <f>'P&amp;L overview'!$G$12*'Cash Flow Statement Y1-5'!BH36</f>
        <v>1666</v>
      </c>
      <c r="BI13" s="447">
        <f>'P&amp;L overview'!$G$12*'Cash Flow Statement Y1-5'!BI36</f>
        <v>1666</v>
      </c>
      <c r="BJ13" s="447">
        <f>'P&amp;L overview'!$G$12*'Cash Flow Statement Y1-5'!BJ36</f>
        <v>1666</v>
      </c>
      <c r="BK13" s="447">
        <f>'P&amp;L overview'!$G$12*'Cash Flow Statement Y1-5'!BK36</f>
        <v>1666</v>
      </c>
      <c r="BL13" s="447">
        <f>'P&amp;L overview'!$G$12*'Cash Flow Statement Y1-5'!BL36</f>
        <v>1666</v>
      </c>
      <c r="BM13" s="447">
        <f>'P&amp;L overview'!$G$12*'Cash Flow Statement Y1-5'!BM36</f>
        <v>1666</v>
      </c>
      <c r="BN13" s="447">
        <f>'P&amp;L overview'!$G$12*'Cash Flow Statement Y1-5'!BN36</f>
        <v>1666</v>
      </c>
      <c r="BO13" s="449"/>
    </row>
    <row r="14" spans="1:67">
      <c r="A14" s="450"/>
      <c r="B14" s="451" t="str">
        <f>'P&amp;L overview'!A13</f>
        <v>BRAND</v>
      </c>
      <c r="C14" s="446"/>
      <c r="D14" s="464">
        <v>3000</v>
      </c>
      <c r="E14" s="449">
        <v>3000</v>
      </c>
      <c r="F14" s="449">
        <v>5000</v>
      </c>
      <c r="G14" s="452">
        <f>'P&amp;L overview'!$C$13*'Cash Flow Statement Y1-5'!G36</f>
        <v>5100</v>
      </c>
      <c r="H14" s="452">
        <f>'P&amp;L overview'!$C$13*'Cash Flow Statement Y1-5'!H36</f>
        <v>5100</v>
      </c>
      <c r="I14" s="452">
        <f>'P&amp;L overview'!$C$13*'Cash Flow Statement Y1-5'!I36</f>
        <v>4080</v>
      </c>
      <c r="J14" s="452">
        <f>'P&amp;L overview'!$C$13*'Cash Flow Statement Y1-5'!J36</f>
        <v>4080</v>
      </c>
      <c r="K14" s="452">
        <f>'P&amp;L overview'!$C$13*'Cash Flow Statement Y1-5'!K36</f>
        <v>5100</v>
      </c>
      <c r="L14" s="452">
        <f>'P&amp;L overview'!$C$13*'Cash Flow Statement Y1-5'!L36</f>
        <v>5100</v>
      </c>
      <c r="M14" s="452">
        <f>'P&amp;L overview'!$C$13*'Cash Flow Statement Y1-5'!M36</f>
        <v>2550</v>
      </c>
      <c r="N14" s="452">
        <f>'P&amp;L overview'!$C$13*'Cash Flow Statement Y1-5'!N36</f>
        <v>3570.0000000000005</v>
      </c>
      <c r="O14" s="452">
        <f>'P&amp;L overview'!$C$13*'Cash Flow Statement Y1-5'!O36</f>
        <v>4080</v>
      </c>
      <c r="P14" s="452">
        <f>'P&amp;L overview'!$C$13*'Cash Flow Statement Y1-5'!P36</f>
        <v>4080</v>
      </c>
      <c r="Q14" s="452">
        <f>'P&amp;L overview'!$C$13*'Cash Flow Statement Y1-5'!Q36</f>
        <v>4080</v>
      </c>
      <c r="R14" s="453">
        <f>'P&amp;L overview'!$C$13*'Cash Flow Statement Y1-5'!R36</f>
        <v>4080</v>
      </c>
      <c r="S14" s="454">
        <f>'P&amp;L overview'!$D$13*'Cash Flow Statement Y1-5'!S36</f>
        <v>7732.7389999999996</v>
      </c>
      <c r="T14" s="454">
        <f>'P&amp;L overview'!$D$13*'Cash Flow Statement Y1-5'!T36</f>
        <v>7732.7389999999996</v>
      </c>
      <c r="U14" s="454">
        <f>'P&amp;L overview'!$D$13*'Cash Flow Statement Y1-5'!U36</f>
        <v>7732.7389999999996</v>
      </c>
      <c r="V14" s="454">
        <f>'P&amp;L overview'!$D$13*'Cash Flow Statement Y1-5'!V36</f>
        <v>7732.7389999999996</v>
      </c>
      <c r="W14" s="454">
        <f>'P&amp;L overview'!$D$13*'Cash Flow Statement Y1-5'!W36</f>
        <v>7732.7389999999996</v>
      </c>
      <c r="X14" s="454">
        <f>'P&amp;L overview'!$D$13*'Cash Flow Statement Y1-5'!X36</f>
        <v>7732.7389999999996</v>
      </c>
      <c r="Y14" s="454">
        <f>'P&amp;L overview'!$D$13*'Cash Flow Statement Y1-5'!Y36</f>
        <v>7732.7389999999996</v>
      </c>
      <c r="Z14" s="454">
        <f>'P&amp;L overview'!$D$13*'Cash Flow Statement Y1-5'!Z36</f>
        <v>7732.7389999999996</v>
      </c>
      <c r="AA14" s="454">
        <f>'P&amp;L overview'!$D$13*'Cash Flow Statement Y1-5'!AA36</f>
        <v>7732.7389999999996</v>
      </c>
      <c r="AB14" s="454">
        <f>'P&amp;L overview'!$D$13*'Cash Flow Statement Y1-5'!AB36</f>
        <v>7732.7389999999996</v>
      </c>
      <c r="AC14" s="454">
        <f>'P&amp;L overview'!$D$13*'Cash Flow Statement Y1-5'!AC36</f>
        <v>7732.7389999999996</v>
      </c>
      <c r="AD14" s="455">
        <f>'P&amp;L overview'!$D$13*'Cash Flow Statement Y1-5'!AD36</f>
        <v>7732.7389999999996</v>
      </c>
      <c r="AE14" s="456">
        <f>'P&amp;L overview'!$E$13*'Cash Flow Statement Y1-5'!AE36</f>
        <v>14547.450691200002</v>
      </c>
      <c r="AF14" s="456">
        <f>'P&amp;L overview'!$E$13*'Cash Flow Statement Y1-5'!AF36</f>
        <v>14547.450691200002</v>
      </c>
      <c r="AG14" s="456">
        <f>'P&amp;L overview'!$E$13*'Cash Flow Statement Y1-5'!AG36</f>
        <v>14547.450691200002</v>
      </c>
      <c r="AH14" s="456">
        <f>'P&amp;L overview'!$E$13*'Cash Flow Statement Y1-5'!AH36</f>
        <v>14547.450691200002</v>
      </c>
      <c r="AI14" s="456">
        <f>'P&amp;L overview'!$E$13*'Cash Flow Statement Y1-5'!AI36</f>
        <v>14547.450691200002</v>
      </c>
      <c r="AJ14" s="456">
        <f>'P&amp;L overview'!$E$13*'Cash Flow Statement Y1-5'!AJ36</f>
        <v>14547.450691200002</v>
      </c>
      <c r="AK14" s="456">
        <f>'P&amp;L overview'!$E$13*'Cash Flow Statement Y1-5'!AK36</f>
        <v>14547.450691200002</v>
      </c>
      <c r="AL14" s="456">
        <f>'P&amp;L overview'!$E$13*'Cash Flow Statement Y1-5'!AL36</f>
        <v>14547.450691200002</v>
      </c>
      <c r="AM14" s="456">
        <f>'P&amp;L overview'!$E$13*'Cash Flow Statement Y1-5'!AM36</f>
        <v>14547.450691200002</v>
      </c>
      <c r="AN14" s="456">
        <f>'P&amp;L overview'!$E$13*'Cash Flow Statement Y1-5'!AN36</f>
        <v>14547.450691200002</v>
      </c>
      <c r="AO14" s="456">
        <f>'P&amp;L overview'!$E$13*'Cash Flow Statement Y1-5'!AO36</f>
        <v>14547.450691200002</v>
      </c>
      <c r="AP14" s="457">
        <f>'P&amp;L overview'!$E$13*'Cash Flow Statement Y1-5'!AP36</f>
        <v>14547.450691200002</v>
      </c>
      <c r="AQ14" s="447">
        <f>'P&amp;L overview'!$F$13*'Cash Flow Statement Y1-5'!AQ36</f>
        <v>28596.459203637503</v>
      </c>
      <c r="AR14" s="447">
        <f>'P&amp;L overview'!$F$13*'Cash Flow Statement Y1-5'!AR36</f>
        <v>28596.459203637503</v>
      </c>
      <c r="AS14" s="447">
        <f>'P&amp;L overview'!$F$13*'Cash Flow Statement Y1-5'!AS36</f>
        <v>28596.459203637503</v>
      </c>
      <c r="AT14" s="447">
        <f>'P&amp;L overview'!$F$13*'Cash Flow Statement Y1-5'!AT36</f>
        <v>28596.459203637503</v>
      </c>
      <c r="AU14" s="447">
        <f>'P&amp;L overview'!$F$13*'Cash Flow Statement Y1-5'!AU36</f>
        <v>28596.459203637503</v>
      </c>
      <c r="AV14" s="447">
        <f>'P&amp;L overview'!$F$13*'Cash Flow Statement Y1-5'!AV36</f>
        <v>28596.459203637503</v>
      </c>
      <c r="AW14" s="447">
        <f>'P&amp;L overview'!$F$13*'Cash Flow Statement Y1-5'!AW36</f>
        <v>28596.459203637503</v>
      </c>
      <c r="AX14" s="447">
        <f>'P&amp;L overview'!$F$13*'Cash Flow Statement Y1-5'!AX36</f>
        <v>28596.459203637503</v>
      </c>
      <c r="AY14" s="447">
        <f>'P&amp;L overview'!$F$13*'Cash Flow Statement Y1-5'!AY36</f>
        <v>28596.459203637503</v>
      </c>
      <c r="AZ14" s="447">
        <f>'P&amp;L overview'!$F$13*'Cash Flow Statement Y1-5'!AZ36</f>
        <v>28596.459203637503</v>
      </c>
      <c r="BA14" s="447">
        <f>'P&amp;L overview'!$F$13*'Cash Flow Statement Y1-5'!BA36</f>
        <v>28596.459203637503</v>
      </c>
      <c r="BB14" s="447">
        <f>'P&amp;L overview'!$F$13*'Cash Flow Statement Y1-5'!BB36</f>
        <v>28596.459203637503</v>
      </c>
      <c r="BC14" s="447">
        <f>'P&amp;L overview'!$G$13*'Cash Flow Statement Y1-5'!BC36</f>
        <v>53084.502381794802</v>
      </c>
      <c r="BD14" s="447">
        <f>'P&amp;L overview'!$G$13*'Cash Flow Statement Y1-5'!BD36</f>
        <v>53084.502381794802</v>
      </c>
      <c r="BE14" s="447">
        <f>'P&amp;L overview'!$G$13*'Cash Flow Statement Y1-5'!BE36</f>
        <v>53084.502381794802</v>
      </c>
      <c r="BF14" s="447">
        <f>'P&amp;L overview'!$G$13*'Cash Flow Statement Y1-5'!BF36</f>
        <v>53084.502381794802</v>
      </c>
      <c r="BG14" s="447">
        <f>'P&amp;L overview'!$G$13*'Cash Flow Statement Y1-5'!BG36</f>
        <v>53084.502381794802</v>
      </c>
      <c r="BH14" s="447">
        <f>'P&amp;L overview'!$G$13*'Cash Flow Statement Y1-5'!BH36</f>
        <v>53084.502381794802</v>
      </c>
      <c r="BI14" s="447">
        <f>'P&amp;L overview'!$G$13*'Cash Flow Statement Y1-5'!BI36</f>
        <v>53084.502381794802</v>
      </c>
      <c r="BJ14" s="447">
        <f>'P&amp;L overview'!$G$13*'Cash Flow Statement Y1-5'!BJ36</f>
        <v>53084.502381794802</v>
      </c>
      <c r="BK14" s="447">
        <f>'P&amp;L overview'!$G$13*'Cash Flow Statement Y1-5'!BK36</f>
        <v>53084.502381794802</v>
      </c>
      <c r="BL14" s="447">
        <f>'P&amp;L overview'!$G$13*'Cash Flow Statement Y1-5'!BL36</f>
        <v>53084.502381794802</v>
      </c>
      <c r="BM14" s="447">
        <f>'P&amp;L overview'!$G$13*'Cash Flow Statement Y1-5'!BM36</f>
        <v>53084.502381794802</v>
      </c>
      <c r="BN14" s="447">
        <f>'P&amp;L overview'!$G$13*'Cash Flow Statement Y1-5'!BN36</f>
        <v>53084.502381794802</v>
      </c>
      <c r="BO14" s="449"/>
    </row>
    <row r="15" spans="1:67">
      <c r="A15" s="450"/>
      <c r="B15" s="451" t="str">
        <f>'P&amp;L overview'!A14</f>
        <v>Cost of Sales &amp; Admin</v>
      </c>
      <c r="C15" s="446"/>
      <c r="D15" s="446"/>
      <c r="E15" s="446"/>
      <c r="F15" s="446"/>
      <c r="G15" s="452">
        <f>'P&amp;L overview'!$C$14/12</f>
        <v>1883.3333333333333</v>
      </c>
      <c r="H15" s="452">
        <f>'P&amp;L overview'!$C$14/12</f>
        <v>1883.3333333333333</v>
      </c>
      <c r="I15" s="452">
        <f>'P&amp;L overview'!$C$14/12</f>
        <v>1883.3333333333333</v>
      </c>
      <c r="J15" s="452">
        <f>'P&amp;L overview'!$C$14/12</f>
        <v>1883.3333333333333</v>
      </c>
      <c r="K15" s="452">
        <f>'P&amp;L overview'!$C$14/12</f>
        <v>1883.3333333333333</v>
      </c>
      <c r="L15" s="452">
        <f>'P&amp;L overview'!$C$14/12</f>
        <v>1883.3333333333333</v>
      </c>
      <c r="M15" s="452">
        <f>'P&amp;L overview'!$C$14/12</f>
        <v>1883.3333333333333</v>
      </c>
      <c r="N15" s="452">
        <f>'P&amp;L overview'!$C$14/12</f>
        <v>1883.3333333333333</v>
      </c>
      <c r="O15" s="452">
        <f>'P&amp;L overview'!$C$14/12</f>
        <v>1883.3333333333333</v>
      </c>
      <c r="P15" s="452">
        <f>'P&amp;L overview'!$C$14/12</f>
        <v>1883.3333333333333</v>
      </c>
      <c r="Q15" s="452">
        <f>'P&amp;L overview'!$C$14/12</f>
        <v>1883.3333333333333</v>
      </c>
      <c r="R15" s="453">
        <f>'P&amp;L overview'!$C$14/12</f>
        <v>1883.3333333333333</v>
      </c>
      <c r="S15" s="454">
        <f>'P&amp;L overview'!$D$14*'Cash Flow Statement Y1-5'!S36</f>
        <v>2065.84</v>
      </c>
      <c r="T15" s="454">
        <f>'P&amp;L overview'!$D$14*'Cash Flow Statement Y1-5'!T36</f>
        <v>2065.84</v>
      </c>
      <c r="U15" s="454">
        <f>'P&amp;L overview'!$D$14*'Cash Flow Statement Y1-5'!U36</f>
        <v>2065.84</v>
      </c>
      <c r="V15" s="454">
        <f>'P&amp;L overview'!$D$14*'Cash Flow Statement Y1-5'!V36</f>
        <v>2065.84</v>
      </c>
      <c r="W15" s="454">
        <f>'P&amp;L overview'!$D$14*'Cash Flow Statement Y1-5'!W36</f>
        <v>2065.84</v>
      </c>
      <c r="X15" s="454">
        <f>'P&amp;L overview'!$D$14*'Cash Flow Statement Y1-5'!X36</f>
        <v>2065.84</v>
      </c>
      <c r="Y15" s="454">
        <f>'P&amp;L overview'!$D$14*'Cash Flow Statement Y1-5'!Y36</f>
        <v>2065.84</v>
      </c>
      <c r="Z15" s="454">
        <f>'P&amp;L overview'!$D$14*'Cash Flow Statement Y1-5'!Z36</f>
        <v>2065.84</v>
      </c>
      <c r="AA15" s="454">
        <f>'P&amp;L overview'!$D$14*'Cash Flow Statement Y1-5'!AA36</f>
        <v>2065.84</v>
      </c>
      <c r="AB15" s="454">
        <f>'P&amp;L overview'!$D$14*'Cash Flow Statement Y1-5'!AB36</f>
        <v>2065.84</v>
      </c>
      <c r="AC15" s="454">
        <f>'P&amp;L overview'!$D$14*'Cash Flow Statement Y1-5'!AC36</f>
        <v>2065.84</v>
      </c>
      <c r="AD15" s="455">
        <f>'P&amp;L overview'!$D$14*'Cash Flow Statement Y1-5'!AD36</f>
        <v>2065.84</v>
      </c>
      <c r="AE15" s="456">
        <f>'P&amp;L overview'!$E$14*'Cash Flow Statement Y1-5'!AE36</f>
        <v>3332</v>
      </c>
      <c r="AF15" s="456">
        <f>'P&amp;L overview'!$E$14*'Cash Flow Statement Y1-5'!AF36</f>
        <v>3332</v>
      </c>
      <c r="AG15" s="456">
        <f>'P&amp;L overview'!$E$14*'Cash Flow Statement Y1-5'!AG36</f>
        <v>3332</v>
      </c>
      <c r="AH15" s="456">
        <f>'P&amp;L overview'!$E$14*'Cash Flow Statement Y1-5'!AH36</f>
        <v>3332</v>
      </c>
      <c r="AI15" s="456">
        <f>'P&amp;L overview'!$E$14*'Cash Flow Statement Y1-5'!AI36</f>
        <v>3332</v>
      </c>
      <c r="AJ15" s="456">
        <f>'P&amp;L overview'!$E$14*'Cash Flow Statement Y1-5'!AJ36</f>
        <v>3332</v>
      </c>
      <c r="AK15" s="456">
        <f>'P&amp;L overview'!$E$14*'Cash Flow Statement Y1-5'!AK36</f>
        <v>3332</v>
      </c>
      <c r="AL15" s="456">
        <f>'P&amp;L overview'!$E$14*'Cash Flow Statement Y1-5'!AL36</f>
        <v>3332</v>
      </c>
      <c r="AM15" s="456">
        <f>'P&amp;L overview'!$E$14*'Cash Flow Statement Y1-5'!AM36</f>
        <v>3332</v>
      </c>
      <c r="AN15" s="456">
        <f>'P&amp;L overview'!$E$14*'Cash Flow Statement Y1-5'!AN36</f>
        <v>3332</v>
      </c>
      <c r="AO15" s="456">
        <f>'P&amp;L overview'!$E$14*'Cash Flow Statement Y1-5'!AO36</f>
        <v>3332</v>
      </c>
      <c r="AP15" s="457">
        <f>'P&amp;L overview'!$E$14*'Cash Flow Statement Y1-5'!AP36</f>
        <v>3332</v>
      </c>
      <c r="AQ15" s="447">
        <f>'P&amp;L overview'!$F$14*'Cash Flow Statement Y1-5'!AQ36</f>
        <v>4598.16</v>
      </c>
      <c r="AR15" s="447">
        <f>'P&amp;L overview'!$F$14*'Cash Flow Statement Y1-5'!AR36</f>
        <v>4598.16</v>
      </c>
      <c r="AS15" s="447">
        <f>'P&amp;L overview'!$F$14*'Cash Flow Statement Y1-5'!AS36</f>
        <v>4598.16</v>
      </c>
      <c r="AT15" s="447">
        <f>'P&amp;L overview'!$F$14*'Cash Flow Statement Y1-5'!AT36</f>
        <v>4598.16</v>
      </c>
      <c r="AU15" s="447">
        <f>'P&amp;L overview'!$F$14*'Cash Flow Statement Y1-5'!AU36</f>
        <v>4598.16</v>
      </c>
      <c r="AV15" s="447">
        <f>'P&amp;L overview'!$F$14*'Cash Flow Statement Y1-5'!AV36</f>
        <v>4598.16</v>
      </c>
      <c r="AW15" s="447">
        <f>'P&amp;L overview'!$F$14*'Cash Flow Statement Y1-5'!AW36</f>
        <v>4598.16</v>
      </c>
      <c r="AX15" s="447">
        <f>'P&amp;L overview'!$F$14*'Cash Flow Statement Y1-5'!AX36</f>
        <v>4598.16</v>
      </c>
      <c r="AY15" s="447">
        <f>'P&amp;L overview'!$F$14*'Cash Flow Statement Y1-5'!AY36</f>
        <v>4598.16</v>
      </c>
      <c r="AZ15" s="447">
        <f>'P&amp;L overview'!$F$14*'Cash Flow Statement Y1-5'!AZ36</f>
        <v>4598.16</v>
      </c>
      <c r="BA15" s="447">
        <f>'P&amp;L overview'!$F$14*'Cash Flow Statement Y1-5'!BA36</f>
        <v>4598.16</v>
      </c>
      <c r="BB15" s="447">
        <f>'P&amp;L overview'!$F$14*'Cash Flow Statement Y1-5'!BB36</f>
        <v>4598.16</v>
      </c>
      <c r="BC15" s="447">
        <f>'P&amp;L overview'!$G$14*'Cash Flow Statement Y1-5'!BC36</f>
        <v>5947.62</v>
      </c>
      <c r="BD15" s="447">
        <f>'P&amp;L overview'!$G$14*'Cash Flow Statement Y1-5'!BD36</f>
        <v>5947.62</v>
      </c>
      <c r="BE15" s="447">
        <f>'P&amp;L overview'!$G$14*'Cash Flow Statement Y1-5'!BE36</f>
        <v>5947.62</v>
      </c>
      <c r="BF15" s="447">
        <f>'P&amp;L overview'!$G$14*'Cash Flow Statement Y1-5'!BF36</f>
        <v>5947.62</v>
      </c>
      <c r="BG15" s="447">
        <f>'P&amp;L overview'!$G$14*'Cash Flow Statement Y1-5'!BG36</f>
        <v>5947.62</v>
      </c>
      <c r="BH15" s="447">
        <f>'P&amp;L overview'!$G$14*'Cash Flow Statement Y1-5'!BH36</f>
        <v>5947.62</v>
      </c>
      <c r="BI15" s="447">
        <f>'P&amp;L overview'!$G$14*'Cash Flow Statement Y1-5'!BI36</f>
        <v>5947.62</v>
      </c>
      <c r="BJ15" s="447">
        <f>'P&amp;L overview'!$G$14*'Cash Flow Statement Y1-5'!BJ36</f>
        <v>5947.62</v>
      </c>
      <c r="BK15" s="447">
        <f>'P&amp;L overview'!$G$14*'Cash Flow Statement Y1-5'!BK36</f>
        <v>5947.62</v>
      </c>
      <c r="BL15" s="447">
        <f>'P&amp;L overview'!$G$14*'Cash Flow Statement Y1-5'!BL36</f>
        <v>5947.62</v>
      </c>
      <c r="BM15" s="447">
        <f>'P&amp;L overview'!$G$14*'Cash Flow Statement Y1-5'!BM36</f>
        <v>5947.62</v>
      </c>
      <c r="BN15" s="447">
        <f>'P&amp;L overview'!$G$14*'Cash Flow Statement Y1-5'!BN36</f>
        <v>5947.62</v>
      </c>
      <c r="BO15" s="449"/>
    </row>
    <row r="16" spans="1:67">
      <c r="A16" s="450"/>
      <c r="B16" s="451" t="str">
        <f>'P&amp;L overview'!A15</f>
        <v xml:space="preserve">DISCOUNTS </v>
      </c>
      <c r="C16" s="446"/>
      <c r="D16" s="446"/>
      <c r="E16" s="446"/>
      <c r="F16" s="446"/>
      <c r="G16" s="452">
        <f>'P&amp;L overview'!$C$15*'Cash Flow Statement Y1-5'!G26</f>
        <v>0</v>
      </c>
      <c r="H16" s="452">
        <f>'P&amp;L overview'!$C$15*'Cash Flow Statement Y1-5'!H26</f>
        <v>0</v>
      </c>
      <c r="I16" s="452">
        <f>'P&amp;L overview'!$C$15*'Cash Flow Statement Y1-5'!I26</f>
        <v>0</v>
      </c>
      <c r="J16" s="452">
        <f>'P&amp;L overview'!$C$15*'Cash Flow Statement Y1-5'!J26</f>
        <v>0</v>
      </c>
      <c r="K16" s="452">
        <f>'P&amp;L overview'!$C$15*'Cash Flow Statement Y1-5'!K26</f>
        <v>0</v>
      </c>
      <c r="L16" s="452">
        <f>'P&amp;L overview'!$C$15*'Cash Flow Statement Y1-5'!L26</f>
        <v>0</v>
      </c>
      <c r="M16" s="452">
        <f>'P&amp;L overview'!$C$15*'Cash Flow Statement Y1-5'!M26</f>
        <v>0</v>
      </c>
      <c r="N16" s="452">
        <f>'P&amp;L overview'!$C$15*'Cash Flow Statement Y1-5'!N26</f>
        <v>0</v>
      </c>
      <c r="O16" s="452">
        <f>'P&amp;L overview'!$C$15*'Cash Flow Statement Y1-5'!O26</f>
        <v>0</v>
      </c>
      <c r="P16" s="452">
        <f>'P&amp;L overview'!$C$15*'Cash Flow Statement Y1-5'!P26</f>
        <v>0</v>
      </c>
      <c r="Q16" s="452">
        <f>'P&amp;L overview'!$C$15*'Cash Flow Statement Y1-5'!Q26</f>
        <v>0</v>
      </c>
      <c r="R16" s="453">
        <f>'P&amp;L overview'!$C$15*'Cash Flow Statement Y1-5'!R26</f>
        <v>0</v>
      </c>
      <c r="S16" s="454">
        <f>'P&amp;L overview'!$D$15*'Cash Flow Statement Y1-5'!S26</f>
        <v>1896.6000000000001</v>
      </c>
      <c r="T16" s="454">
        <f>'P&amp;L overview'!$D$15*'Cash Flow Statement Y1-5'!T26</f>
        <v>2370.75</v>
      </c>
      <c r="U16" s="454">
        <f>'P&amp;L overview'!$D$15*'Cash Flow Statement Y1-5'!U26</f>
        <v>2844.9</v>
      </c>
      <c r="V16" s="454">
        <f>'P&amp;L overview'!$D$15*'Cash Flow Statement Y1-5'!V26</f>
        <v>4267.3499999999995</v>
      </c>
      <c r="W16" s="454">
        <f>'P&amp;L overview'!$D$15*'Cash Flow Statement Y1-5'!W26</f>
        <v>1896.6000000000001</v>
      </c>
      <c r="X16" s="454">
        <f>'P&amp;L overview'!$D$15*'Cash Flow Statement Y1-5'!X26</f>
        <v>2844.9</v>
      </c>
      <c r="Y16" s="454">
        <f>'P&amp;L overview'!$D$15*'Cash Flow Statement Y1-5'!Y26</f>
        <v>3793.2000000000003</v>
      </c>
      <c r="Z16" s="454">
        <f>'P&amp;L overview'!$D$15*'Cash Flow Statement Y1-5'!Z26</f>
        <v>4267.3499999999995</v>
      </c>
      <c r="AA16" s="454">
        <f>'P&amp;L overview'!$D$15*'Cash Flow Statement Y1-5'!AA26</f>
        <v>5215.6499999999996</v>
      </c>
      <c r="AB16" s="454">
        <f>'P&amp;L overview'!$D$15*'Cash Flow Statement Y1-5'!AB26</f>
        <v>6163.95</v>
      </c>
      <c r="AC16" s="454">
        <f>'P&amp;L overview'!$D$15*'Cash Flow Statement Y1-5'!AC26</f>
        <v>6163.95</v>
      </c>
      <c r="AD16" s="455">
        <f>'P&amp;L overview'!$D$15*'Cash Flow Statement Y1-5'!AD26</f>
        <v>5689.8</v>
      </c>
      <c r="AE16" s="456">
        <f>'P&amp;L overview'!$E$15*'Cash Flow Statement Y1-5'!AE26</f>
        <v>4134.3283199999996</v>
      </c>
      <c r="AF16" s="456">
        <f>'P&amp;L overview'!$E$15*'Cash Flow Statement Y1-5'!AF26</f>
        <v>5167.9103999999998</v>
      </c>
      <c r="AG16" s="456">
        <f>'P&amp;L overview'!$E$15*'Cash Flow Statement Y1-5'!AG26</f>
        <v>6201.492479999999</v>
      </c>
      <c r="AH16" s="456">
        <f>'P&amp;L overview'!$E$15*'Cash Flow Statement Y1-5'!AH26</f>
        <v>9302.2387199999976</v>
      </c>
      <c r="AI16" s="456">
        <f>'P&amp;L overview'!$E$15*'Cash Flow Statement Y1-5'!AI26</f>
        <v>4134.3283199999996</v>
      </c>
      <c r="AJ16" s="456">
        <f>'P&amp;L overview'!$E$15*'Cash Flow Statement Y1-5'!AJ26</f>
        <v>6201.492479999999</v>
      </c>
      <c r="AK16" s="456">
        <f>'P&amp;L overview'!$E$15*'Cash Flow Statement Y1-5'!AK26</f>
        <v>8268.6566399999992</v>
      </c>
      <c r="AL16" s="456">
        <f>'P&amp;L overview'!$E$15*'Cash Flow Statement Y1-5'!AL26</f>
        <v>9302.2387199999976</v>
      </c>
      <c r="AM16" s="456">
        <f>'P&amp;L overview'!$E$15*'Cash Flow Statement Y1-5'!AM26</f>
        <v>11369.402879999998</v>
      </c>
      <c r="AN16" s="456">
        <f>'P&amp;L overview'!$E$15*'Cash Flow Statement Y1-5'!AN26</f>
        <v>13436.567039999998</v>
      </c>
      <c r="AO16" s="456">
        <f>'P&amp;L overview'!$E$15*'Cash Flow Statement Y1-5'!AO26</f>
        <v>13436.567039999998</v>
      </c>
      <c r="AP16" s="457">
        <f>'P&amp;L overview'!$E$15*'Cash Flow Statement Y1-5'!AP26</f>
        <v>12402.984959999998</v>
      </c>
      <c r="AQ16" s="447">
        <f>'P&amp;L overview'!$F$15*'Cash Flow Statement Y1-5'!AQ26</f>
        <v>10707.870960000002</v>
      </c>
      <c r="AR16" s="447">
        <f>'P&amp;L overview'!$F$15*'Cash Flow Statement Y1-5'!AR26</f>
        <v>13384.838700000002</v>
      </c>
      <c r="AS16" s="447">
        <f>'P&amp;L overview'!$F$15*'Cash Flow Statement Y1-5'!AS26</f>
        <v>16061.806440000002</v>
      </c>
      <c r="AT16" s="447">
        <f>'P&amp;L overview'!$F$15*'Cash Flow Statement Y1-5'!AT26</f>
        <v>24092.70966</v>
      </c>
      <c r="AU16" s="447">
        <f>'P&amp;L overview'!$F$15*'Cash Flow Statement Y1-5'!AU26</f>
        <v>10707.870960000002</v>
      </c>
      <c r="AV16" s="447">
        <f>'P&amp;L overview'!$F$15*'Cash Flow Statement Y1-5'!AV26</f>
        <v>16061.806440000002</v>
      </c>
      <c r="AW16" s="447">
        <f>'P&amp;L overview'!$F$15*'Cash Flow Statement Y1-5'!AW26</f>
        <v>21415.741920000004</v>
      </c>
      <c r="AX16" s="447">
        <f>'P&amp;L overview'!$F$15*'Cash Flow Statement Y1-5'!AX26</f>
        <v>24092.70966</v>
      </c>
      <c r="AY16" s="447">
        <f>'P&amp;L overview'!$F$15*'Cash Flow Statement Y1-5'!AY26</f>
        <v>29446.645140000004</v>
      </c>
      <c r="AZ16" s="447">
        <f>'P&amp;L overview'!$F$15*'Cash Flow Statement Y1-5'!AZ26</f>
        <v>34800.580620000008</v>
      </c>
      <c r="BA16" s="447">
        <f>'P&amp;L overview'!$F$15*'Cash Flow Statement Y1-5'!BA26</f>
        <v>34800.580620000008</v>
      </c>
      <c r="BB16" s="447">
        <f>'P&amp;L overview'!$F$15*'Cash Flow Statement Y1-5'!BB26</f>
        <v>32123.612880000004</v>
      </c>
      <c r="BC16" s="447">
        <f>'P&amp;L overview'!$G$15*'Cash Flow Statement Y1-5'!BC26</f>
        <v>30799.619938559998</v>
      </c>
      <c r="BD16" s="447">
        <f>'P&amp;L overview'!$G$15*'Cash Flow Statement Y1-5'!BD26</f>
        <v>38499.524923199999</v>
      </c>
      <c r="BE16" s="447">
        <f>'P&amp;L overview'!$G$15*'Cash Flow Statement Y1-5'!BE26</f>
        <v>46199.429907839993</v>
      </c>
      <c r="BF16" s="447">
        <f>'P&amp;L overview'!$G$15*'Cash Flow Statement Y1-5'!BF26</f>
        <v>69299.144861759996</v>
      </c>
      <c r="BG16" s="447">
        <f>'P&amp;L overview'!$G$15*'Cash Flow Statement Y1-5'!BG26</f>
        <v>30799.619938559998</v>
      </c>
      <c r="BH16" s="447">
        <f>'P&amp;L overview'!$G$15*'Cash Flow Statement Y1-5'!BH26</f>
        <v>46199.429907839993</v>
      </c>
      <c r="BI16" s="447">
        <f>'P&amp;L overview'!$G$15*'Cash Flow Statement Y1-5'!BI26</f>
        <v>61599.239877119995</v>
      </c>
      <c r="BJ16" s="447">
        <f>'P&amp;L overview'!$G$15*'Cash Flow Statement Y1-5'!BJ26</f>
        <v>69299.144861759996</v>
      </c>
      <c r="BK16" s="447">
        <f>'P&amp;L overview'!$G$15*'Cash Flow Statement Y1-5'!BK26</f>
        <v>84698.954831039999</v>
      </c>
      <c r="BL16" s="447">
        <f>'P&amp;L overview'!$G$15*'Cash Flow Statement Y1-5'!BL26</f>
        <v>100098.76480032</v>
      </c>
      <c r="BM16" s="447">
        <f>'P&amp;L overview'!$G$15*'Cash Flow Statement Y1-5'!BM26</f>
        <v>100098.76480032</v>
      </c>
      <c r="BN16" s="447">
        <f>'P&amp;L overview'!$G$15*'Cash Flow Statement Y1-5'!BN26</f>
        <v>92398.859815679985</v>
      </c>
      <c r="BO16" s="449"/>
    </row>
    <row r="17" spans="1:67">
      <c r="A17" s="450"/>
      <c r="B17" s="451" t="str">
        <f>'P&amp;L overview'!A16</f>
        <v xml:space="preserve">FMO / Logistics </v>
      </c>
      <c r="C17" s="446"/>
      <c r="D17" s="449">
        <v>1000</v>
      </c>
      <c r="E17" s="449">
        <v>1000</v>
      </c>
      <c r="F17" s="449">
        <v>1000</v>
      </c>
      <c r="G17" s="452">
        <f>'P&amp;L overview'!$C$16*'Cash Flow Statement Y1-5'!G32</f>
        <v>3000</v>
      </c>
      <c r="H17" s="452">
        <f>'P&amp;L overview'!$C$16*'Cash Flow Statement Y1-5'!H32</f>
        <v>3000</v>
      </c>
      <c r="I17" s="452">
        <f>'P&amp;L overview'!$C$16*'Cash Flow Statement Y1-5'!I32</f>
        <v>3750</v>
      </c>
      <c r="J17" s="452">
        <f>'P&amp;L overview'!$C$16*'Cash Flow Statement Y1-5'!J32</f>
        <v>5250.0000000000009</v>
      </c>
      <c r="K17" s="452">
        <f>'P&amp;L overview'!$C$16*'Cash Flow Statement Y1-5'!K32</f>
        <v>6000</v>
      </c>
      <c r="L17" s="452">
        <f>'P&amp;L overview'!$C$16*'Cash Flow Statement Y1-5'!L32</f>
        <v>7500</v>
      </c>
      <c r="M17" s="452">
        <f>'P&amp;L overview'!$C$16*'Cash Flow Statement Y1-5'!M32</f>
        <v>6000</v>
      </c>
      <c r="N17" s="452">
        <f>'P&amp;L overview'!$C$16*'Cash Flow Statement Y1-5'!N32</f>
        <v>6750</v>
      </c>
      <c r="O17" s="452">
        <f>'P&amp;L overview'!$C$16*'Cash Flow Statement Y1-5'!O32</f>
        <v>9000</v>
      </c>
      <c r="P17" s="452">
        <f>'P&amp;L overview'!$C$16*'Cash Flow Statement Y1-5'!P32</f>
        <v>9000</v>
      </c>
      <c r="Q17" s="452">
        <f>'P&amp;L overview'!$C$16*'Cash Flow Statement Y1-5'!Q32</f>
        <v>9750</v>
      </c>
      <c r="R17" s="453">
        <f>'P&amp;L overview'!$C$16*'Cash Flow Statement Y1-5'!R32</f>
        <v>9000</v>
      </c>
      <c r="S17" s="454">
        <f>'P&amp;L overview'!$D$16*'Cash Flow Statement Y1-5'!S32</f>
        <v>5700</v>
      </c>
      <c r="T17" s="454">
        <f>'P&amp;L overview'!$D$16*'Cash Flow Statement Y1-5'!T32</f>
        <v>5700</v>
      </c>
      <c r="U17" s="454">
        <f>'P&amp;L overview'!$D$16*'Cash Flow Statement Y1-5'!U32</f>
        <v>6840</v>
      </c>
      <c r="V17" s="454">
        <f>'P&amp;L overview'!$D$16*'Cash Flow Statement Y1-5'!V32</f>
        <v>10260</v>
      </c>
      <c r="W17" s="454">
        <f>'P&amp;L overview'!$D$16*'Cash Flow Statement Y1-5'!W32</f>
        <v>4560</v>
      </c>
      <c r="X17" s="454">
        <f>'P&amp;L overview'!$D$16*'Cash Flow Statement Y1-5'!X32</f>
        <v>6840</v>
      </c>
      <c r="Y17" s="454">
        <f>'P&amp;L overview'!$D$16*'Cash Flow Statement Y1-5'!Y32</f>
        <v>9120</v>
      </c>
      <c r="Z17" s="454">
        <f>'P&amp;L overview'!$D$16*'Cash Flow Statement Y1-5'!Z32</f>
        <v>10260</v>
      </c>
      <c r="AA17" s="454">
        <f>'P&amp;L overview'!$D$16*'Cash Flow Statement Y1-5'!AA32</f>
        <v>13680</v>
      </c>
      <c r="AB17" s="454">
        <f>'P&amp;L overview'!$D$16*'Cash Flow Statement Y1-5'!AB32</f>
        <v>14820</v>
      </c>
      <c r="AC17" s="454">
        <f>'P&amp;L overview'!$D$16*'Cash Flow Statement Y1-5'!AC32</f>
        <v>15960.000000000002</v>
      </c>
      <c r="AD17" s="455">
        <f>'P&amp;L overview'!$D$16*'Cash Flow Statement Y1-5'!AD32</f>
        <v>14820</v>
      </c>
      <c r="AE17" s="456">
        <f>'P&amp;L overview'!$E$16*'Cash Flow Statement Y1-5'!AE32</f>
        <v>8400</v>
      </c>
      <c r="AF17" s="456">
        <f>'P&amp;L overview'!$E$16*'Cash Flow Statement Y1-5'!AF32</f>
        <v>8400</v>
      </c>
      <c r="AG17" s="456">
        <f>'P&amp;L overview'!$E$16*'Cash Flow Statement Y1-5'!AG32</f>
        <v>10080</v>
      </c>
      <c r="AH17" s="456">
        <f>'P&amp;L overview'!$E$16*'Cash Flow Statement Y1-5'!AH32</f>
        <v>15120</v>
      </c>
      <c r="AI17" s="456">
        <f>'P&amp;L overview'!$E$16*'Cash Flow Statement Y1-5'!AI32</f>
        <v>6720</v>
      </c>
      <c r="AJ17" s="456">
        <f>'P&amp;L overview'!$E$16*'Cash Flow Statement Y1-5'!AJ32</f>
        <v>10080</v>
      </c>
      <c r="AK17" s="456">
        <f>'P&amp;L overview'!$E$16*'Cash Flow Statement Y1-5'!AK32</f>
        <v>13440</v>
      </c>
      <c r="AL17" s="456">
        <f>'P&amp;L overview'!$E$16*'Cash Flow Statement Y1-5'!AL32</f>
        <v>16800</v>
      </c>
      <c r="AM17" s="456">
        <f>'P&amp;L overview'!$E$16*'Cash Flow Statement Y1-5'!AM32</f>
        <v>18480</v>
      </c>
      <c r="AN17" s="456">
        <f>'P&amp;L overview'!$E$16*'Cash Flow Statement Y1-5'!AN32</f>
        <v>21840</v>
      </c>
      <c r="AO17" s="456">
        <f>'P&amp;L overview'!$E$16*'Cash Flow Statement Y1-5'!AO32</f>
        <v>21840</v>
      </c>
      <c r="AP17" s="457">
        <f>'P&amp;L overview'!$E$16*'Cash Flow Statement Y1-5'!AP32</f>
        <v>21840</v>
      </c>
      <c r="AQ17" s="447">
        <f>'P&amp;L overview'!$F$16*AQ32</f>
        <v>15495</v>
      </c>
      <c r="AR17" s="447">
        <f>'P&amp;L overview'!$F$16*AR32</f>
        <v>15495</v>
      </c>
      <c r="AS17" s="447">
        <f>'P&amp;L overview'!$F$16*AS32</f>
        <v>18594</v>
      </c>
      <c r="AT17" s="447">
        <f>'P&amp;L overview'!$F$16*AT32</f>
        <v>27891</v>
      </c>
      <c r="AU17" s="447">
        <f>'P&amp;L overview'!$F$16*AU32</f>
        <v>12396</v>
      </c>
      <c r="AV17" s="447">
        <f>'P&amp;L overview'!$F$16*AV32</f>
        <v>18594</v>
      </c>
      <c r="AW17" s="447">
        <f>'P&amp;L overview'!$F$16*AW32</f>
        <v>24792</v>
      </c>
      <c r="AX17" s="447">
        <f>'P&amp;L overview'!$F$16*AX32</f>
        <v>30990</v>
      </c>
      <c r="AY17" s="447">
        <f>'P&amp;L overview'!$F$16*AY32</f>
        <v>34089</v>
      </c>
      <c r="AZ17" s="447">
        <f>'P&amp;L overview'!$F$16*AZ32</f>
        <v>40287</v>
      </c>
      <c r="BA17" s="447">
        <f>'P&amp;L overview'!$F$16*BA32</f>
        <v>40287</v>
      </c>
      <c r="BB17" s="447">
        <f>'P&amp;L overview'!$F$16*BB32</f>
        <v>40287</v>
      </c>
      <c r="BC17" s="447">
        <f>'P&amp;L overview'!$G$16*'Cash Flow Statement Y1-5'!BC32</f>
        <v>24892.25</v>
      </c>
      <c r="BD17" s="447">
        <f>'P&amp;L overview'!$G$16*'Cash Flow Statement Y1-5'!BD32</f>
        <v>24892.25</v>
      </c>
      <c r="BE17" s="447">
        <f>'P&amp;L overview'!$G$16*'Cash Flow Statement Y1-5'!BE32</f>
        <v>29870.699999999997</v>
      </c>
      <c r="BF17" s="447">
        <f>'P&amp;L overview'!$G$16*'Cash Flow Statement Y1-5'!BF32</f>
        <v>44806.049999999996</v>
      </c>
      <c r="BG17" s="447">
        <f>'P&amp;L overview'!$G$16*'Cash Flow Statement Y1-5'!BG32</f>
        <v>19913.8</v>
      </c>
      <c r="BH17" s="447">
        <f>'P&amp;L overview'!$G$16*'Cash Flow Statement Y1-5'!BH32</f>
        <v>29870.699999999997</v>
      </c>
      <c r="BI17" s="447">
        <f>'P&amp;L overview'!$G$16*'Cash Flow Statement Y1-5'!BI32</f>
        <v>39827.599999999999</v>
      </c>
      <c r="BJ17" s="447">
        <f>'P&amp;L overview'!$G$16*'Cash Flow Statement Y1-5'!BJ32</f>
        <v>49784.5</v>
      </c>
      <c r="BK17" s="447">
        <f>'P&amp;L overview'!$G$16*'Cash Flow Statement Y1-5'!BK32</f>
        <v>54762.95</v>
      </c>
      <c r="BL17" s="447">
        <f>'P&amp;L overview'!$G$16*'Cash Flow Statement Y1-5'!BL32</f>
        <v>64719.850000000006</v>
      </c>
      <c r="BM17" s="447">
        <f>'P&amp;L overview'!$G$16*'Cash Flow Statement Y1-5'!BM32</f>
        <v>64719.850000000006</v>
      </c>
      <c r="BN17" s="447">
        <f>'P&amp;L overview'!$G$16*'Cash Flow Statement Y1-5'!BN32</f>
        <v>64719.850000000006</v>
      </c>
      <c r="BO17" s="449"/>
    </row>
    <row r="18" spans="1:67">
      <c r="A18" s="450"/>
      <c r="B18" s="451" t="str">
        <f>'P&amp;L overview'!A17</f>
        <v>RCB Corporate Overheads</v>
      </c>
      <c r="C18" s="464">
        <v>2000</v>
      </c>
      <c r="D18" s="464">
        <v>12000</v>
      </c>
      <c r="E18" s="464">
        <v>12000</v>
      </c>
      <c r="F18" s="464">
        <v>12000</v>
      </c>
      <c r="G18" s="452">
        <f>'P&amp;L overview'!$C$17*'Cash Flow Statement Y1-5'!G36</f>
        <v>15710</v>
      </c>
      <c r="H18" s="452">
        <f>'P&amp;L overview'!$C$17*'Cash Flow Statement Y1-5'!H36</f>
        <v>15710</v>
      </c>
      <c r="I18" s="452">
        <f>'P&amp;L overview'!$C$17*'Cash Flow Statement Y1-5'!I36</f>
        <v>12568</v>
      </c>
      <c r="J18" s="452">
        <f>'P&amp;L overview'!$C$17*'Cash Flow Statement Y1-5'!J36</f>
        <v>12568</v>
      </c>
      <c r="K18" s="452">
        <f>'P&amp;L overview'!$C$17*'Cash Flow Statement Y1-5'!K36</f>
        <v>15710</v>
      </c>
      <c r="L18" s="452">
        <f>'P&amp;L overview'!$C$17*'Cash Flow Statement Y1-5'!L36</f>
        <v>15710</v>
      </c>
      <c r="M18" s="452">
        <f>'P&amp;L overview'!$C$17*'Cash Flow Statement Y1-5'!M36</f>
        <v>7855</v>
      </c>
      <c r="N18" s="452">
        <f>'P&amp;L overview'!$C$17*'Cash Flow Statement Y1-5'!N36</f>
        <v>10997.000000000002</v>
      </c>
      <c r="O18" s="452">
        <f>'P&amp;L overview'!$C$17*'Cash Flow Statement Y1-5'!O36</f>
        <v>12568</v>
      </c>
      <c r="P18" s="452">
        <f>'P&amp;L overview'!$C$17*'Cash Flow Statement Y1-5'!P36</f>
        <v>12568</v>
      </c>
      <c r="Q18" s="452">
        <f>'P&amp;L overview'!$C$17*'Cash Flow Statement Y1-5'!Q36</f>
        <v>12568</v>
      </c>
      <c r="R18" s="453">
        <f>'P&amp;L overview'!$C$17*'Cash Flow Statement Y1-5'!R36</f>
        <v>12568</v>
      </c>
      <c r="S18" s="454">
        <f>'P&amp;L overview'!$D$17*'Cash Flow Statement Y1-5'!S36</f>
        <v>15210.58</v>
      </c>
      <c r="T18" s="454">
        <f>'P&amp;L overview'!$D$17*'Cash Flow Statement Y1-5'!T36</f>
        <v>15210.58</v>
      </c>
      <c r="U18" s="454">
        <f>'P&amp;L overview'!$D$17*'Cash Flow Statement Y1-5'!U36</f>
        <v>15210.58</v>
      </c>
      <c r="V18" s="454">
        <f>'P&amp;L overview'!$D$17*'Cash Flow Statement Y1-5'!V36</f>
        <v>15210.58</v>
      </c>
      <c r="W18" s="454">
        <f>'P&amp;L overview'!$D$17*'Cash Flow Statement Y1-5'!W36</f>
        <v>15210.58</v>
      </c>
      <c r="X18" s="454">
        <f>'P&amp;L overview'!$D$17*'Cash Flow Statement Y1-5'!X36</f>
        <v>15210.58</v>
      </c>
      <c r="Y18" s="454">
        <f>'P&amp;L overview'!$D$17*'Cash Flow Statement Y1-5'!Y36</f>
        <v>15210.58</v>
      </c>
      <c r="Z18" s="454">
        <f>'P&amp;L overview'!$D$17*'Cash Flow Statement Y1-5'!Z36</f>
        <v>15210.58</v>
      </c>
      <c r="AA18" s="454">
        <f>'P&amp;L overview'!$D$17*'Cash Flow Statement Y1-5'!AA36</f>
        <v>15210.58</v>
      </c>
      <c r="AB18" s="454">
        <f>'P&amp;L overview'!$D$17*'Cash Flow Statement Y1-5'!AB36</f>
        <v>15210.58</v>
      </c>
      <c r="AC18" s="454">
        <f>'P&amp;L overview'!$D$17*'Cash Flow Statement Y1-5'!AC36</f>
        <v>15210.58</v>
      </c>
      <c r="AD18" s="455">
        <f>'P&amp;L overview'!$D$17*'Cash Flow Statement Y1-5'!AD36</f>
        <v>15210.58</v>
      </c>
      <c r="AE18" s="456">
        <f>'P&amp;L overview'!$E$17*'Cash Flow Statement Y1-5'!AE36</f>
        <v>20041.98</v>
      </c>
      <c r="AF18" s="456">
        <f>'P&amp;L overview'!$E$17*'Cash Flow Statement Y1-5'!AF36</f>
        <v>20041.98</v>
      </c>
      <c r="AG18" s="456">
        <f>'P&amp;L overview'!$E$17*'Cash Flow Statement Y1-5'!AG36</f>
        <v>20041.98</v>
      </c>
      <c r="AH18" s="456">
        <f>'P&amp;L overview'!$E$17*'Cash Flow Statement Y1-5'!AH36</f>
        <v>20041.98</v>
      </c>
      <c r="AI18" s="456">
        <f>'P&amp;L overview'!$E$17*'Cash Flow Statement Y1-5'!AI36</f>
        <v>20041.98</v>
      </c>
      <c r="AJ18" s="456">
        <f>'P&amp;L overview'!$E$17*'Cash Flow Statement Y1-5'!AJ36</f>
        <v>20041.98</v>
      </c>
      <c r="AK18" s="456">
        <f>'P&amp;L overview'!$E$17*'Cash Flow Statement Y1-5'!AK36</f>
        <v>20041.98</v>
      </c>
      <c r="AL18" s="456">
        <f>'P&amp;L overview'!$E$17*'Cash Flow Statement Y1-5'!AL36</f>
        <v>20041.98</v>
      </c>
      <c r="AM18" s="456">
        <f>'P&amp;L overview'!$E$17*'Cash Flow Statement Y1-5'!AM36</f>
        <v>20041.98</v>
      </c>
      <c r="AN18" s="456">
        <f>'P&amp;L overview'!$E$17*'Cash Flow Statement Y1-5'!AN36</f>
        <v>20041.98</v>
      </c>
      <c r="AO18" s="456">
        <f>'P&amp;L overview'!$E$17*'Cash Flow Statement Y1-5'!AO36</f>
        <v>20041.98</v>
      </c>
      <c r="AP18" s="457">
        <f>'P&amp;L overview'!$E$17*'Cash Flow Statement Y1-5'!AP36</f>
        <v>20041.98</v>
      </c>
      <c r="AQ18" s="447">
        <f>'P&amp;L overview'!$F$17*AQ36</f>
        <v>21033.25</v>
      </c>
      <c r="AR18" s="447">
        <f>'P&amp;L overview'!$F$17*AR36</f>
        <v>21033.25</v>
      </c>
      <c r="AS18" s="447">
        <f>'P&amp;L overview'!$F$17*AS36</f>
        <v>21033.25</v>
      </c>
      <c r="AT18" s="447">
        <f>'P&amp;L overview'!$F$17*AT36</f>
        <v>21033.25</v>
      </c>
      <c r="AU18" s="447">
        <f>'P&amp;L overview'!$F$17*AU36</f>
        <v>21033.25</v>
      </c>
      <c r="AV18" s="447">
        <f>'P&amp;L overview'!$F$17*AV36</f>
        <v>21033.25</v>
      </c>
      <c r="AW18" s="447">
        <f>'P&amp;L overview'!$F$17*AW36</f>
        <v>21033.25</v>
      </c>
      <c r="AX18" s="447">
        <f>'P&amp;L overview'!$F$17*AX36</f>
        <v>21033.25</v>
      </c>
      <c r="AY18" s="447">
        <f>'P&amp;L overview'!$F$17*AY36</f>
        <v>21033.25</v>
      </c>
      <c r="AZ18" s="447">
        <f>'P&amp;L overview'!$F$17*AZ36</f>
        <v>21033.25</v>
      </c>
      <c r="BA18" s="447">
        <f>'P&amp;L overview'!$F$17*BA36</f>
        <v>21033.25</v>
      </c>
      <c r="BB18" s="447">
        <f>'P&amp;L overview'!$F$17*BB36</f>
        <v>21033.25</v>
      </c>
      <c r="BC18" s="447">
        <f>'P&amp;L overview'!$G$17*'Cash Flow Statement Y1-5'!BC36</f>
        <v>23219.458500000001</v>
      </c>
      <c r="BD18" s="447">
        <f>'P&amp;L overview'!$G$17*'Cash Flow Statement Y1-5'!BD36</f>
        <v>23219.458500000001</v>
      </c>
      <c r="BE18" s="447">
        <f>'P&amp;L overview'!$G$17*'Cash Flow Statement Y1-5'!BE36</f>
        <v>23219.458500000001</v>
      </c>
      <c r="BF18" s="447">
        <f>'P&amp;L overview'!$G$17*'Cash Flow Statement Y1-5'!BF36</f>
        <v>23219.458500000001</v>
      </c>
      <c r="BG18" s="447">
        <f>'P&amp;L overview'!$G$17*'Cash Flow Statement Y1-5'!BG36</f>
        <v>23219.458500000001</v>
      </c>
      <c r="BH18" s="447">
        <f>'P&amp;L overview'!$G$17*'Cash Flow Statement Y1-5'!BH36</f>
        <v>23219.458500000001</v>
      </c>
      <c r="BI18" s="447">
        <f>'P&amp;L overview'!$G$17*'Cash Flow Statement Y1-5'!BI36</f>
        <v>23219.458500000001</v>
      </c>
      <c r="BJ18" s="447">
        <f>'P&amp;L overview'!$G$17*'Cash Flow Statement Y1-5'!BJ36</f>
        <v>23219.458500000001</v>
      </c>
      <c r="BK18" s="447">
        <f>'P&amp;L overview'!$G$17*'Cash Flow Statement Y1-5'!BK36</f>
        <v>23219.458500000001</v>
      </c>
      <c r="BL18" s="447">
        <f>'P&amp;L overview'!$G$17*'Cash Flow Statement Y1-5'!BL36</f>
        <v>23219.458500000001</v>
      </c>
      <c r="BM18" s="447">
        <f>'P&amp;L overview'!$G$17*'Cash Flow Statement Y1-5'!BM36</f>
        <v>23219.458500000001</v>
      </c>
      <c r="BN18" s="447">
        <f>'P&amp;L overview'!$G$17*'Cash Flow Statement Y1-5'!BN36</f>
        <v>23219.458500000001</v>
      </c>
      <c r="BO18" s="449"/>
    </row>
    <row r="19" spans="1:67">
      <c r="A19" s="450"/>
      <c r="B19" s="451" t="str">
        <f>'P&amp;L overview'!A18</f>
        <v xml:space="preserve">Bad Debts </v>
      </c>
      <c r="C19" s="446"/>
      <c r="D19" s="446"/>
      <c r="E19" s="446"/>
      <c r="F19" s="446"/>
      <c r="G19" s="452">
        <f>'P&amp;L overview'!$C$18*'Cash Flow Statement Y1-5'!G26</f>
        <v>204</v>
      </c>
      <c r="H19" s="452">
        <f>'P&amp;L overview'!$C$18*'Cash Flow Statement Y1-5'!H26</f>
        <v>306</v>
      </c>
      <c r="I19" s="452">
        <f>'P&amp;L overview'!$C$18*'Cash Flow Statement Y1-5'!I26</f>
        <v>408</v>
      </c>
      <c r="J19" s="452">
        <f>'P&amp;L overview'!$C$18*'Cash Flow Statement Y1-5'!J26</f>
        <v>612</v>
      </c>
      <c r="K19" s="452">
        <f>'P&amp;L overview'!$C$18*'Cash Flow Statement Y1-5'!K26</f>
        <v>714.00000000000011</v>
      </c>
      <c r="L19" s="452">
        <f>'P&amp;L overview'!$C$18*'Cash Flow Statement Y1-5'!L26</f>
        <v>1020</v>
      </c>
      <c r="M19" s="452">
        <f>'P&amp;L overview'!$C$18*'Cash Flow Statement Y1-5'!M26</f>
        <v>816</v>
      </c>
      <c r="N19" s="452">
        <f>'P&amp;L overview'!$C$18*'Cash Flow Statement Y1-5'!N26</f>
        <v>918</v>
      </c>
      <c r="O19" s="452">
        <f>'P&amp;L overview'!$C$18*'Cash Flow Statement Y1-5'!O26</f>
        <v>1122</v>
      </c>
      <c r="P19" s="452">
        <f>'P&amp;L overview'!$C$18*'Cash Flow Statement Y1-5'!P26</f>
        <v>1224</v>
      </c>
      <c r="Q19" s="452">
        <f>'P&amp;L overview'!$C$18*'Cash Flow Statement Y1-5'!Q26</f>
        <v>1326</v>
      </c>
      <c r="R19" s="453">
        <f>'P&amp;L overview'!$C$18*'Cash Flow Statement Y1-5'!R26</f>
        <v>1530</v>
      </c>
      <c r="S19" s="454">
        <f>'P&amp;L overview'!$D$18*'Cash Flow Statement Y1-5'!S26</f>
        <v>758.64</v>
      </c>
      <c r="T19" s="454">
        <f>'P&amp;L overview'!$D$18*'Cash Flow Statement Y1-5'!T26</f>
        <v>948.30000000000007</v>
      </c>
      <c r="U19" s="454">
        <f>'P&amp;L overview'!$D$18*'Cash Flow Statement Y1-5'!U26</f>
        <v>1137.96</v>
      </c>
      <c r="V19" s="454">
        <f>'P&amp;L overview'!$D$18*'Cash Flow Statement Y1-5'!V26</f>
        <v>1706.9399999999998</v>
      </c>
      <c r="W19" s="454">
        <f>'P&amp;L overview'!$D$18*'Cash Flow Statement Y1-5'!W26</f>
        <v>758.64</v>
      </c>
      <c r="X19" s="454">
        <f>'P&amp;L overview'!$D$18*'Cash Flow Statement Y1-5'!X26</f>
        <v>1137.96</v>
      </c>
      <c r="Y19" s="454">
        <f>'P&amp;L overview'!$D$18*'Cash Flow Statement Y1-5'!Y26</f>
        <v>1517.28</v>
      </c>
      <c r="Z19" s="454">
        <f>'P&amp;L overview'!$D$18*'Cash Flow Statement Y1-5'!Z26</f>
        <v>1706.9399999999998</v>
      </c>
      <c r="AA19" s="454">
        <f>'P&amp;L overview'!$D$18*'Cash Flow Statement Y1-5'!AA26</f>
        <v>2086.2600000000002</v>
      </c>
      <c r="AB19" s="454">
        <f>'P&amp;L overview'!$D$18*'Cash Flow Statement Y1-5'!AB26</f>
        <v>2465.58</v>
      </c>
      <c r="AC19" s="454">
        <f>'P&amp;L overview'!$D$18*'Cash Flow Statement Y1-5'!AC26</f>
        <v>2465.58</v>
      </c>
      <c r="AD19" s="455">
        <f>'P&amp;L overview'!$D$18*'Cash Flow Statement Y1-5'!AD26</f>
        <v>2275.92</v>
      </c>
      <c r="AE19" s="456">
        <f>'P&amp;L overview'!$E$18*'Cash Flow Statement Y1-5'!AE26</f>
        <v>1278.0134400000002</v>
      </c>
      <c r="AF19" s="456">
        <f>'P&amp;L overview'!$E$18*'Cash Flow Statement Y1-5'!AF26</f>
        <v>1597.5168000000003</v>
      </c>
      <c r="AG19" s="456">
        <f>'P&amp;L overview'!$E$18*'Cash Flow Statement Y1-5'!AG26</f>
        <v>1917.02016</v>
      </c>
      <c r="AH19" s="456">
        <f>'P&amp;L overview'!$E$18*'Cash Flow Statement Y1-5'!AH26</f>
        <v>2875.53024</v>
      </c>
      <c r="AI19" s="456">
        <f>'P&amp;L overview'!$E$18*'Cash Flow Statement Y1-5'!AI26</f>
        <v>1278.0134400000002</v>
      </c>
      <c r="AJ19" s="456">
        <f>'P&amp;L overview'!$E$18*'Cash Flow Statement Y1-5'!AJ26</f>
        <v>1917.02016</v>
      </c>
      <c r="AK19" s="456">
        <f>'P&amp;L overview'!$E$18*'Cash Flow Statement Y1-5'!AK26</f>
        <v>2556.0268800000003</v>
      </c>
      <c r="AL19" s="456">
        <f>'P&amp;L overview'!$E$18*'Cash Flow Statement Y1-5'!AL26</f>
        <v>2875.53024</v>
      </c>
      <c r="AM19" s="456">
        <f>'P&amp;L overview'!$E$18*'Cash Flow Statement Y1-5'!AM26</f>
        <v>3514.5369600000004</v>
      </c>
      <c r="AN19" s="456">
        <f>'P&amp;L overview'!$E$18*'Cash Flow Statement Y1-5'!AN26</f>
        <v>4153.5436800000007</v>
      </c>
      <c r="AO19" s="456">
        <f>'P&amp;L overview'!$E$18*'Cash Flow Statement Y1-5'!AO26</f>
        <v>4153.5436800000007</v>
      </c>
      <c r="AP19" s="457">
        <f>'P&amp;L overview'!$E$18*'Cash Flow Statement Y1-5'!AP26</f>
        <v>3834.0403200000001</v>
      </c>
      <c r="AQ19" s="447">
        <f>'P&amp;L overview'!$F$18*'Cash Flow Statement Y1-5'!AQ26</f>
        <v>1871.7133050000002</v>
      </c>
      <c r="AR19" s="447">
        <f>'P&amp;L overview'!$F$18*'Cash Flow Statement Y1-5'!AR26</f>
        <v>2339.64163125</v>
      </c>
      <c r="AS19" s="447">
        <f>'P&amp;L overview'!$F$18*'Cash Flow Statement Y1-5'!AS26</f>
        <v>2807.5699574999999</v>
      </c>
      <c r="AT19" s="447">
        <f>'P&amp;L overview'!$F$18*'Cash Flow Statement Y1-5'!AT26</f>
        <v>4211.3549362499998</v>
      </c>
      <c r="AU19" s="447">
        <f>'P&amp;L overview'!$F$18*'Cash Flow Statement Y1-5'!AU26</f>
        <v>1871.7133050000002</v>
      </c>
      <c r="AV19" s="447">
        <f>'P&amp;L overview'!$F$18*'Cash Flow Statement Y1-5'!AV26</f>
        <v>2807.5699574999999</v>
      </c>
      <c r="AW19" s="447">
        <f>'P&amp;L overview'!$F$18*'Cash Flow Statement Y1-5'!AW26</f>
        <v>3743.4266100000004</v>
      </c>
      <c r="AX19" s="447">
        <f>'P&amp;L overview'!$F$18*'Cash Flow Statement Y1-5'!AX26</f>
        <v>4211.3549362499998</v>
      </c>
      <c r="AY19" s="447">
        <f>'P&amp;L overview'!$F$18*'Cash Flow Statement Y1-5'!AY26</f>
        <v>5147.2115887500004</v>
      </c>
      <c r="AZ19" s="447">
        <f>'P&amp;L overview'!$F$18*'Cash Flow Statement Y1-5'!AZ26</f>
        <v>6083.0682412500009</v>
      </c>
      <c r="BA19" s="447">
        <f>'P&amp;L overview'!$F$18*'Cash Flow Statement Y1-5'!BA26</f>
        <v>6083.0682412500009</v>
      </c>
      <c r="BB19" s="447">
        <f>'P&amp;L overview'!$F$18*'Cash Flow Statement Y1-5'!BB26</f>
        <v>5615.1399149999997</v>
      </c>
      <c r="BC19" s="447">
        <f>'P&amp;L overview'!$G$18*'Cash Flow Statement Y1-5'!BC26</f>
        <v>3501.3524923200002</v>
      </c>
      <c r="BD19" s="447">
        <f>'P&amp;L overview'!$G$18*'Cash Flow Statement Y1-5'!BD26</f>
        <v>4376.6906154000008</v>
      </c>
      <c r="BE19" s="447">
        <f>'P&amp;L overview'!$G$18*'Cash Flow Statement Y1-5'!BE26</f>
        <v>5252.0287384800004</v>
      </c>
      <c r="BF19" s="447">
        <f>'P&amp;L overview'!$G$18*'Cash Flow Statement Y1-5'!BF26</f>
        <v>7878.0431077200001</v>
      </c>
      <c r="BG19" s="447">
        <f>'P&amp;L overview'!$G$18*'Cash Flow Statement Y1-5'!BG26</f>
        <v>3501.3524923200002</v>
      </c>
      <c r="BH19" s="447">
        <f>'P&amp;L overview'!$G$18*'Cash Flow Statement Y1-5'!BH26</f>
        <v>5252.0287384800004</v>
      </c>
      <c r="BI19" s="447">
        <f>'P&amp;L overview'!$G$18*'Cash Flow Statement Y1-5'!BI26</f>
        <v>7002.7049846400005</v>
      </c>
      <c r="BJ19" s="447">
        <f>'P&amp;L overview'!$G$18*'Cash Flow Statement Y1-5'!BJ26</f>
        <v>7878.0431077200001</v>
      </c>
      <c r="BK19" s="447">
        <f>'P&amp;L overview'!$G$18*'Cash Flow Statement Y1-5'!BK26</f>
        <v>9628.7193538800002</v>
      </c>
      <c r="BL19" s="447">
        <f>'P&amp;L overview'!$G$18*'Cash Flow Statement Y1-5'!BL26</f>
        <v>11379.395600040001</v>
      </c>
      <c r="BM19" s="447">
        <f>'P&amp;L overview'!$G$18*'Cash Flow Statement Y1-5'!BM26</f>
        <v>11379.395600040001</v>
      </c>
      <c r="BN19" s="447">
        <f>'P&amp;L overview'!$G$18*'Cash Flow Statement Y1-5'!BN26</f>
        <v>10504.057476960001</v>
      </c>
      <c r="BO19" s="449"/>
    </row>
    <row r="20" spans="1:67">
      <c r="A20" s="431"/>
      <c r="B20" s="465" t="s">
        <v>352</v>
      </c>
      <c r="C20" s="466">
        <v>40000</v>
      </c>
      <c r="D20" s="467"/>
      <c r="E20" s="467"/>
      <c r="F20" s="467"/>
      <c r="G20" s="468">
        <v>0</v>
      </c>
      <c r="H20" s="468"/>
      <c r="I20" s="468"/>
      <c r="J20" s="468"/>
      <c r="K20" s="468"/>
      <c r="L20" s="468"/>
      <c r="M20" s="468"/>
      <c r="N20" s="468"/>
      <c r="O20" s="468"/>
      <c r="P20" s="468"/>
      <c r="Q20" s="468"/>
      <c r="R20" s="469"/>
      <c r="S20" s="470"/>
      <c r="T20" s="470"/>
      <c r="U20" s="470"/>
      <c r="V20" s="470"/>
      <c r="W20" s="470"/>
      <c r="X20" s="470"/>
      <c r="Y20" s="470"/>
      <c r="Z20" s="470"/>
      <c r="AA20" s="470"/>
      <c r="AB20" s="470"/>
      <c r="AC20" s="470"/>
      <c r="AD20" s="471"/>
      <c r="AE20" s="472"/>
      <c r="AF20" s="472"/>
      <c r="AG20" s="472"/>
      <c r="AH20" s="472"/>
      <c r="AI20" s="472"/>
      <c r="AJ20" s="472"/>
      <c r="AK20" s="472"/>
      <c r="AL20" s="472"/>
      <c r="AM20" s="472"/>
      <c r="AN20" s="472"/>
      <c r="AO20" s="472"/>
      <c r="AP20" s="473"/>
      <c r="AQ20" s="447"/>
      <c r="AR20" s="447"/>
      <c r="AS20" s="447"/>
      <c r="AT20" s="447"/>
      <c r="AU20" s="447"/>
      <c r="AV20" s="447"/>
      <c r="AW20" s="447"/>
      <c r="AX20" s="447"/>
      <c r="AY20" s="447"/>
      <c r="AZ20" s="447"/>
      <c r="BA20" s="447"/>
      <c r="BB20" s="447"/>
      <c r="BC20" s="447"/>
      <c r="BD20" s="447"/>
      <c r="BE20" s="449"/>
      <c r="BF20" s="449"/>
      <c r="BG20" s="449"/>
      <c r="BH20" s="449"/>
      <c r="BI20" s="449"/>
      <c r="BJ20" s="449"/>
      <c r="BK20" s="449"/>
      <c r="BL20" s="449"/>
      <c r="BM20" s="449"/>
      <c r="BN20" s="449"/>
      <c r="BO20" s="449"/>
    </row>
    <row r="21" spans="1:67" s="481" customFormat="1">
      <c r="A21" s="474"/>
      <c r="B21" s="475" t="s">
        <v>252</v>
      </c>
      <c r="C21" s="476">
        <f>'Debt repayments'!C19</f>
        <v>0</v>
      </c>
      <c r="D21" s="476">
        <f>'Debt repayments'!C21</f>
        <v>0</v>
      </c>
      <c r="E21" s="476">
        <f>'Debt repayments'!C22</f>
        <v>0</v>
      </c>
      <c r="F21" s="476">
        <f>'Debt repayments'!C23</f>
        <v>0</v>
      </c>
      <c r="G21" s="477">
        <f>'Debt repayments'!C24</f>
        <v>0</v>
      </c>
      <c r="H21" s="477">
        <f>'Debt repayments'!C25</f>
        <v>0</v>
      </c>
      <c r="I21" s="477">
        <f>'Debt repayments'!C26</f>
        <v>0</v>
      </c>
      <c r="J21" s="477">
        <f>'Debt repayments'!C27</f>
        <v>0</v>
      </c>
      <c r="K21" s="477">
        <f>'Debt repayments'!C28</f>
        <v>0</v>
      </c>
      <c r="L21" s="477">
        <f>'Debt repayments'!C29</f>
        <v>0</v>
      </c>
      <c r="M21" s="477">
        <f>'Debt repayments'!C30</f>
        <v>0</v>
      </c>
      <c r="N21" s="477">
        <f>'Debt repayments'!C31</f>
        <v>0</v>
      </c>
      <c r="O21" s="477">
        <f>'Debt repayments'!C32</f>
        <v>0</v>
      </c>
      <c r="P21" s="477">
        <f>'Debt repayments'!C33</f>
        <v>0</v>
      </c>
      <c r="Q21" s="477">
        <f>'Debt repayments'!C34</f>
        <v>0</v>
      </c>
      <c r="R21" s="478">
        <f>'Debt repayments'!C35</f>
        <v>0</v>
      </c>
      <c r="S21" s="461">
        <f>'Debt repayments'!C36</f>
        <v>0</v>
      </c>
      <c r="T21" s="461">
        <f>'Debt repayments'!C37</f>
        <v>0</v>
      </c>
      <c r="U21" s="461">
        <f>'Debt repayments'!C38</f>
        <v>0</v>
      </c>
      <c r="V21" s="461">
        <f>'Debt repayments'!C39</f>
        <v>0</v>
      </c>
      <c r="W21" s="461">
        <f>'Debt repayments'!C40</f>
        <v>0</v>
      </c>
      <c r="X21" s="461">
        <f>'Debt repayments'!C41</f>
        <v>0</v>
      </c>
      <c r="Y21" s="461">
        <f>'Debt repayments'!C42</f>
        <v>0</v>
      </c>
      <c r="Z21" s="461">
        <f>'Debt repayments'!C43</f>
        <v>0</v>
      </c>
      <c r="AA21" s="461">
        <f>'Debt repayments'!C44</f>
        <v>0</v>
      </c>
      <c r="AB21" s="461">
        <f>'Debt repayments'!C45</f>
        <v>0</v>
      </c>
      <c r="AC21" s="461">
        <f>'Debt repayments'!C46</f>
        <v>0</v>
      </c>
      <c r="AD21" s="479">
        <f>'Debt repayments'!C47</f>
        <v>0</v>
      </c>
      <c r="AE21" s="462">
        <f>'Debt repayments'!C48</f>
        <v>0</v>
      </c>
      <c r="AF21" s="462">
        <f>'Debt repayments'!C49</f>
        <v>0</v>
      </c>
      <c r="AG21" s="462">
        <f>'Debt repayments'!C50</f>
        <v>0</v>
      </c>
      <c r="AH21" s="462">
        <f>'Debt repayments'!C51</f>
        <v>0</v>
      </c>
      <c r="AI21" s="462"/>
      <c r="AJ21" s="462"/>
      <c r="AK21" s="462"/>
      <c r="AL21" s="462"/>
      <c r="AM21" s="462"/>
      <c r="AN21" s="462"/>
      <c r="AO21" s="462"/>
      <c r="AP21" s="480"/>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row>
    <row r="22" spans="1:67">
      <c r="C22" s="449"/>
      <c r="D22" s="449"/>
      <c r="E22" s="449"/>
      <c r="F22" s="449"/>
      <c r="G22" s="463"/>
      <c r="H22" s="454"/>
      <c r="I22" s="454"/>
      <c r="J22" s="454"/>
      <c r="K22" s="454"/>
      <c r="L22" s="454"/>
      <c r="M22" s="454"/>
      <c r="N22" s="454"/>
      <c r="O22" s="454"/>
      <c r="P22" s="454"/>
      <c r="Q22" s="454"/>
      <c r="R22" s="455"/>
      <c r="S22" s="454"/>
      <c r="T22" s="454"/>
      <c r="U22" s="454"/>
      <c r="V22" s="454"/>
      <c r="W22" s="454"/>
      <c r="X22" s="482"/>
      <c r="Y22" s="482"/>
      <c r="Z22" s="482"/>
      <c r="AA22" s="482"/>
      <c r="AB22" s="482"/>
      <c r="AC22" s="482"/>
      <c r="AD22" s="483"/>
      <c r="AE22" s="456"/>
      <c r="AP22" s="432"/>
    </row>
    <row r="23" spans="1:67" s="431" customFormat="1">
      <c r="B23" s="433" t="s">
        <v>141</v>
      </c>
      <c r="C23" s="435">
        <f t="shared" ref="C23:BO23" si="56">C4-SUM(C5,C8:C21)+SUM(C6:C7)</f>
        <v>1363167.6</v>
      </c>
      <c r="D23" s="435">
        <f t="shared" si="56"/>
        <v>1299667.6000000001</v>
      </c>
      <c r="E23" s="435">
        <f t="shared" si="56"/>
        <v>1217902.6000000001</v>
      </c>
      <c r="F23" s="435">
        <f t="shared" si="56"/>
        <v>1034933.05</v>
      </c>
      <c r="G23" s="435">
        <f t="shared" si="56"/>
        <v>937964.5541666667</v>
      </c>
      <c r="H23" s="435">
        <f t="shared" si="56"/>
        <v>748238.64923773333</v>
      </c>
      <c r="I23" s="435">
        <f t="shared" si="56"/>
        <v>681686.84476100001</v>
      </c>
      <c r="J23" s="435">
        <f t="shared" si="56"/>
        <v>645305.67073646665</v>
      </c>
      <c r="K23" s="435">
        <f t="shared" si="56"/>
        <v>625988.00011633337</v>
      </c>
      <c r="L23" s="435">
        <f t="shared" si="56"/>
        <v>608052.33994840004</v>
      </c>
      <c r="M23" s="435">
        <f t="shared" si="56"/>
        <v>617669.91113706667</v>
      </c>
      <c r="N23" s="435">
        <f t="shared" si="56"/>
        <v>612566.18142133334</v>
      </c>
      <c r="O23" s="435">
        <f t="shared" si="56"/>
        <v>575265.82215779996</v>
      </c>
      <c r="P23" s="435">
        <f t="shared" si="56"/>
        <v>568915.48379866662</v>
      </c>
      <c r="Q23" s="435">
        <f t="shared" si="56"/>
        <v>572945.15589173324</v>
      </c>
      <c r="R23" s="435">
        <f t="shared" si="56"/>
        <v>546340.83843699994</v>
      </c>
      <c r="S23" s="435">
        <f t="shared" si="56"/>
        <v>541596.5605909999</v>
      </c>
      <c r="T23" s="435">
        <f t="shared" si="56"/>
        <v>514437.07967848791</v>
      </c>
      <c r="U23" s="435">
        <f t="shared" si="56"/>
        <v>493835.97969509789</v>
      </c>
      <c r="V23" s="435">
        <f t="shared" si="56"/>
        <v>472465.64064082992</v>
      </c>
      <c r="W23" s="435">
        <f t="shared" si="56"/>
        <v>489580.92437392793</v>
      </c>
      <c r="X23" s="435">
        <f t="shared" si="56"/>
        <v>461007.63346141594</v>
      </c>
      <c r="Y23" s="435">
        <f t="shared" si="56"/>
        <v>389151.10440714797</v>
      </c>
      <c r="Z23" s="435">
        <f t="shared" si="56"/>
        <v>383725.14721112396</v>
      </c>
      <c r="AA23" s="435">
        <f t="shared" si="56"/>
        <v>338193.76094422198</v>
      </c>
      <c r="AB23" s="435">
        <f t="shared" si="56"/>
        <v>345029.13653556397</v>
      </c>
      <c r="AC23" s="435">
        <f t="shared" si="56"/>
        <v>298808.89398515003</v>
      </c>
      <c r="AD23" s="435">
        <f t="shared" si="56"/>
        <v>276902.46143473603</v>
      </c>
      <c r="AE23" s="435">
        <f t="shared" si="56"/>
        <v>277172.90151755005</v>
      </c>
      <c r="AF23" s="435">
        <f t="shared" si="56"/>
        <v>242278.36101318971</v>
      </c>
      <c r="AG23" s="435">
        <f t="shared" si="56"/>
        <v>215798.33406940178</v>
      </c>
      <c r="AH23" s="435">
        <f t="shared" si="56"/>
        <v>187634.64980618627</v>
      </c>
      <c r="AI23" s="435">
        <f t="shared" si="56"/>
        <v>225107.18974468799</v>
      </c>
      <c r="AJ23" s="435">
        <f t="shared" si="56"/>
        <v>185163.56380032765</v>
      </c>
      <c r="AK23" s="435">
        <f t="shared" si="56"/>
        <v>162048.96497711213</v>
      </c>
      <c r="AL23" s="435">
        <f t="shared" si="56"/>
        <v>157116.47871504145</v>
      </c>
      <c r="AM23" s="435">
        <f t="shared" si="56"/>
        <v>124245.42057354315</v>
      </c>
      <c r="AN23" s="435">
        <f t="shared" si="56"/>
        <v>123203.38955318969</v>
      </c>
      <c r="AO23" s="435">
        <f t="shared" si="56"/>
        <v>169088.55653398106</v>
      </c>
      <c r="AP23" s="435">
        <f t="shared" si="56"/>
        <v>188326.80895477242</v>
      </c>
      <c r="AQ23" s="435">
        <f t="shared" si="56"/>
        <v>183404.23715678137</v>
      </c>
      <c r="AR23" s="435">
        <f t="shared" si="56"/>
        <v>130643.79132211709</v>
      </c>
      <c r="AS23" s="435">
        <f t="shared" si="56"/>
        <v>96192.001930314233</v>
      </c>
      <c r="AT23" s="435">
        <f>AT4-SUM(AT5,AT8:AT21)+SUM(AT6:AT7)</f>
        <v>55731.07684887285</v>
      </c>
      <c r="AU23" s="435">
        <f t="shared" si="56"/>
        <v>139467.2896260157</v>
      </c>
      <c r="AV23" s="435">
        <f t="shared" si="56"/>
        <v>80547.947725101403</v>
      </c>
      <c r="AW23" s="435">
        <f t="shared" si="56"/>
        <v>50245.918709910009</v>
      </c>
      <c r="AX23" s="435">
        <f t="shared" si="56"/>
        <v>51706.098646691535</v>
      </c>
      <c r="AY23" s="435">
        <f t="shared" si="56"/>
        <v>49330.038960084436</v>
      </c>
      <c r="AZ23" s="435">
        <f t="shared" si="56"/>
        <v>90571.292159200239</v>
      </c>
      <c r="BA23" s="435">
        <f t="shared" si="56"/>
        <v>108747.65037653886</v>
      </c>
      <c r="BB23" s="435">
        <f t="shared" si="56"/>
        <v>199068.90466012747</v>
      </c>
      <c r="BC23" s="435">
        <f t="shared" si="56"/>
        <v>217297.24503066612</v>
      </c>
      <c r="BD23" s="435">
        <f t="shared" si="56"/>
        <v>145524.83602904729</v>
      </c>
      <c r="BE23" s="435">
        <f t="shared" si="56"/>
        <v>108805.0148809333</v>
      </c>
      <c r="BF23" s="435">
        <f t="shared" si="56"/>
        <v>53150.395370884391</v>
      </c>
      <c r="BG23" s="435">
        <f t="shared" si="56"/>
        <v>234603.08428311005</v>
      </c>
      <c r="BH23" s="435">
        <f t="shared" si="56"/>
        <v>153836.98217377116</v>
      </c>
      <c r="BI23" s="435">
        <f t="shared" si="56"/>
        <v>119176.05577144216</v>
      </c>
      <c r="BJ23" s="435">
        <f t="shared" si="56"/>
        <v>139195.54818384309</v>
      </c>
      <c r="BK23" s="435">
        <f t="shared" si="56"/>
        <v>173692.38534202875</v>
      </c>
      <c r="BL23" s="435">
        <f t="shared" si="56"/>
        <v>254294.39820722438</v>
      </c>
      <c r="BM23" s="435">
        <f t="shared" si="56"/>
        <v>422988.97299486987</v>
      </c>
      <c r="BN23" s="435">
        <f t="shared" si="56"/>
        <v>600258.79089023522</v>
      </c>
      <c r="BO23" s="435">
        <f t="shared" si="56"/>
        <v>1128814.1624249343</v>
      </c>
    </row>
    <row r="24" spans="1:67" ht="17" thickBot="1">
      <c r="R24" s="430"/>
      <c r="AD24" s="484"/>
      <c r="AL24" s="485" t="s">
        <v>21</v>
      </c>
      <c r="AP24" s="432"/>
    </row>
    <row r="25" spans="1:67" ht="18" thickTop="1" thickBot="1">
      <c r="G25" s="486" t="s">
        <v>145</v>
      </c>
      <c r="H25" s="487"/>
      <c r="I25" s="487"/>
      <c r="J25" s="487"/>
      <c r="K25" s="487"/>
      <c r="L25" s="487"/>
      <c r="M25" s="487"/>
      <c r="N25" s="487"/>
      <c r="O25" s="487"/>
      <c r="P25" s="487"/>
      <c r="Q25" s="487"/>
      <c r="R25" s="488"/>
      <c r="S25" s="486" t="s">
        <v>236</v>
      </c>
      <c r="T25" s="487"/>
      <c r="U25" s="487"/>
      <c r="V25" s="487"/>
      <c r="W25" s="487"/>
      <c r="X25" s="487"/>
      <c r="Y25" s="487"/>
      <c r="Z25" s="487"/>
      <c r="AA25" s="487"/>
      <c r="AB25" s="487"/>
      <c r="AC25" s="487"/>
      <c r="AD25" s="488"/>
      <c r="AP25" s="432"/>
    </row>
    <row r="26" spans="1:67" ht="17" thickTop="1">
      <c r="B26" s="489" t="s">
        <v>146</v>
      </c>
      <c r="C26" s="489"/>
      <c r="D26" s="489"/>
      <c r="E26" s="489"/>
      <c r="F26" s="489"/>
      <c r="G26" s="490">
        <v>0.02</v>
      </c>
      <c r="H26" s="490">
        <v>0.03</v>
      </c>
      <c r="I26" s="490">
        <v>0.04</v>
      </c>
      <c r="J26" s="490">
        <v>0.06</v>
      </c>
      <c r="K26" s="490">
        <v>7.0000000000000007E-2</v>
      </c>
      <c r="L26" s="490">
        <v>0.1</v>
      </c>
      <c r="M26" s="490">
        <v>0.08</v>
      </c>
      <c r="N26" s="490">
        <v>0.09</v>
      </c>
      <c r="O26" s="490">
        <v>0.11</v>
      </c>
      <c r="P26" s="490">
        <v>0.12</v>
      </c>
      <c r="Q26" s="490">
        <v>0.13</v>
      </c>
      <c r="R26" s="491">
        <v>0.15</v>
      </c>
      <c r="S26" s="490">
        <v>0.04</v>
      </c>
      <c r="T26" s="490">
        <v>0.05</v>
      </c>
      <c r="U26" s="490">
        <v>0.06</v>
      </c>
      <c r="V26" s="490">
        <v>0.09</v>
      </c>
      <c r="W26" s="490">
        <v>0.04</v>
      </c>
      <c r="X26" s="490">
        <v>0.06</v>
      </c>
      <c r="Y26" s="490">
        <v>0.08</v>
      </c>
      <c r="Z26" s="490">
        <v>0.09</v>
      </c>
      <c r="AA26" s="490">
        <v>0.11</v>
      </c>
      <c r="AB26" s="490">
        <v>0.13</v>
      </c>
      <c r="AC26" s="490">
        <v>0.13</v>
      </c>
      <c r="AD26" s="492">
        <v>0.12</v>
      </c>
      <c r="AE26" s="493">
        <v>0.04</v>
      </c>
      <c r="AF26" s="493">
        <v>0.05</v>
      </c>
      <c r="AG26" s="493">
        <v>0.06</v>
      </c>
      <c r="AH26" s="493">
        <v>0.09</v>
      </c>
      <c r="AI26" s="493">
        <v>0.04</v>
      </c>
      <c r="AJ26" s="493">
        <v>0.06</v>
      </c>
      <c r="AK26" s="493">
        <v>0.08</v>
      </c>
      <c r="AL26" s="493">
        <v>0.09</v>
      </c>
      <c r="AM26" s="493">
        <v>0.11</v>
      </c>
      <c r="AN26" s="493">
        <v>0.13</v>
      </c>
      <c r="AO26" s="493">
        <v>0.13</v>
      </c>
      <c r="AP26" s="494">
        <v>0.12</v>
      </c>
      <c r="AQ26" s="493">
        <v>0.04</v>
      </c>
      <c r="AR26" s="493">
        <v>0.05</v>
      </c>
      <c r="AS26" s="493">
        <v>0.06</v>
      </c>
      <c r="AT26" s="493">
        <v>0.09</v>
      </c>
      <c r="AU26" s="493">
        <v>0.04</v>
      </c>
      <c r="AV26" s="493">
        <v>0.06</v>
      </c>
      <c r="AW26" s="493">
        <v>0.08</v>
      </c>
      <c r="AX26" s="493">
        <v>0.09</v>
      </c>
      <c r="AY26" s="493">
        <v>0.11</v>
      </c>
      <c r="AZ26" s="493">
        <v>0.13</v>
      </c>
      <c r="BA26" s="493">
        <v>0.13</v>
      </c>
      <c r="BB26" s="494">
        <v>0.12</v>
      </c>
      <c r="BC26" s="493">
        <v>0.04</v>
      </c>
      <c r="BD26" s="493">
        <v>0.05</v>
      </c>
      <c r="BE26" s="493">
        <v>0.06</v>
      </c>
      <c r="BF26" s="493">
        <v>0.09</v>
      </c>
      <c r="BG26" s="493">
        <v>0.04</v>
      </c>
      <c r="BH26" s="493">
        <v>0.06</v>
      </c>
      <c r="BI26" s="493">
        <v>0.08</v>
      </c>
      <c r="BJ26" s="493">
        <v>0.09</v>
      </c>
      <c r="BK26" s="493">
        <v>0.11</v>
      </c>
      <c r="BL26" s="493">
        <v>0.13</v>
      </c>
      <c r="BM26" s="493">
        <v>0.13</v>
      </c>
      <c r="BN26" s="494">
        <v>0.12</v>
      </c>
    </row>
    <row r="27" spans="1:67">
      <c r="B27" s="489"/>
      <c r="C27" s="489"/>
      <c r="D27" s="489"/>
      <c r="E27" s="489"/>
      <c r="F27" s="489"/>
      <c r="G27" s="489"/>
      <c r="H27" s="489"/>
      <c r="I27" s="489"/>
      <c r="J27" s="489"/>
      <c r="K27" s="489"/>
      <c r="L27" s="489"/>
      <c r="M27" s="489"/>
      <c r="N27" s="489"/>
      <c r="O27" s="489"/>
      <c r="P27" s="489"/>
      <c r="Q27" s="489"/>
      <c r="R27" s="495" t="s">
        <v>145</v>
      </c>
      <c r="S27" s="489"/>
      <c r="T27" s="489"/>
      <c r="U27" s="489"/>
      <c r="V27" s="489"/>
      <c r="W27" s="489"/>
      <c r="X27" s="489"/>
      <c r="Y27" s="489"/>
      <c r="Z27" s="489"/>
      <c r="AA27" s="489"/>
      <c r="AB27" s="489"/>
      <c r="AC27" s="489"/>
      <c r="AD27" s="491">
        <f>SUM(S26:AD26)</f>
        <v>1</v>
      </c>
      <c r="AE27" s="496"/>
      <c r="AF27" s="496"/>
      <c r="AG27" s="496"/>
      <c r="AH27" s="496"/>
      <c r="AI27" s="496"/>
      <c r="AJ27" s="496"/>
      <c r="AK27" s="496"/>
      <c r="AL27" s="496"/>
      <c r="AM27" s="496"/>
      <c r="AN27" s="496"/>
      <c r="AO27" s="496"/>
      <c r="AP27" s="494">
        <f>SUM(AE26:AP26)</f>
        <v>1</v>
      </c>
      <c r="AQ27" s="496"/>
      <c r="AR27" s="496"/>
      <c r="AS27" s="496"/>
      <c r="AT27" s="496"/>
      <c r="AU27" s="496"/>
      <c r="AV27" s="496"/>
      <c r="AW27" s="496"/>
      <c r="AX27" s="496"/>
      <c r="AY27" s="496"/>
      <c r="AZ27" s="496"/>
      <c r="BA27" s="496"/>
      <c r="BB27" s="494">
        <f>SUM(AQ26:BB26)</f>
        <v>1</v>
      </c>
      <c r="BC27" s="496"/>
      <c r="BD27" s="496"/>
      <c r="BE27" s="496"/>
      <c r="BF27" s="496"/>
      <c r="BG27" s="496"/>
      <c r="BH27" s="496"/>
      <c r="BI27" s="496"/>
      <c r="BJ27" s="496"/>
      <c r="BK27" s="496"/>
      <c r="BL27" s="496"/>
      <c r="BM27" s="496"/>
      <c r="BN27" s="494">
        <f>SUM(BC26:BN26)</f>
        <v>1</v>
      </c>
    </row>
    <row r="28" spans="1:67">
      <c r="B28" s="489"/>
      <c r="C28" s="489"/>
      <c r="D28" s="489"/>
      <c r="E28" s="489"/>
      <c r="F28" s="489"/>
      <c r="G28" s="489"/>
      <c r="H28" s="489"/>
      <c r="I28" s="489"/>
      <c r="J28" s="489"/>
      <c r="K28" s="489"/>
      <c r="L28" s="489"/>
      <c r="M28" s="489"/>
      <c r="N28" s="489"/>
      <c r="O28" s="489"/>
      <c r="P28" s="489"/>
      <c r="Q28" s="489"/>
      <c r="R28" s="497">
        <f>SUM(G26:R26)</f>
        <v>1</v>
      </c>
      <c r="S28" s="489"/>
      <c r="T28" s="489"/>
      <c r="U28" s="489"/>
      <c r="V28" s="489"/>
      <c r="W28" s="489"/>
      <c r="X28" s="489"/>
      <c r="Y28" s="489"/>
      <c r="Z28" s="489"/>
      <c r="AA28" s="489"/>
      <c r="AB28" s="489"/>
      <c r="AC28" s="489"/>
      <c r="AD28" s="495"/>
      <c r="AE28" s="496"/>
      <c r="AF28" s="496"/>
      <c r="AG28" s="496"/>
      <c r="AH28" s="496"/>
      <c r="AI28" s="496"/>
      <c r="AJ28" s="496"/>
      <c r="AK28" s="496"/>
      <c r="AL28" s="496"/>
      <c r="AM28" s="496"/>
      <c r="AN28" s="496"/>
      <c r="AO28" s="496"/>
      <c r="AP28" s="498"/>
      <c r="AQ28" s="496"/>
      <c r="AR28" s="496"/>
      <c r="AS28" s="496"/>
      <c r="AT28" s="496"/>
      <c r="AU28" s="496"/>
      <c r="AV28" s="496"/>
      <c r="AW28" s="496"/>
      <c r="AX28" s="496"/>
      <c r="AY28" s="496"/>
      <c r="AZ28" s="496"/>
      <c r="BA28" s="496"/>
      <c r="BB28" s="498"/>
      <c r="BC28" s="496"/>
      <c r="BD28" s="496"/>
      <c r="BE28" s="496"/>
      <c r="BF28" s="496"/>
      <c r="BG28" s="496"/>
      <c r="BH28" s="496"/>
      <c r="BI28" s="496"/>
      <c r="BJ28" s="496"/>
      <c r="BK28" s="496"/>
      <c r="BL28" s="496"/>
      <c r="BM28" s="496"/>
      <c r="BN28" s="498"/>
    </row>
    <row r="29" spans="1:67" hidden="1">
      <c r="B29" s="489" t="s">
        <v>147</v>
      </c>
      <c r="C29" s="489"/>
      <c r="D29" s="489"/>
      <c r="E29" s="489"/>
      <c r="F29" s="489"/>
      <c r="G29" s="490">
        <v>0</v>
      </c>
      <c r="H29" s="490">
        <v>0</v>
      </c>
      <c r="I29" s="490">
        <v>0</v>
      </c>
      <c r="J29" s="490">
        <v>0</v>
      </c>
      <c r="K29" s="490">
        <v>0</v>
      </c>
      <c r="L29" s="490">
        <v>0</v>
      </c>
      <c r="M29" s="490">
        <v>0</v>
      </c>
      <c r="N29" s="490">
        <v>0</v>
      </c>
      <c r="O29" s="490">
        <v>0</v>
      </c>
      <c r="P29" s="490">
        <v>0</v>
      </c>
      <c r="Q29" s="490">
        <v>0</v>
      </c>
      <c r="R29" s="491">
        <v>0</v>
      </c>
      <c r="S29" s="499">
        <v>0</v>
      </c>
      <c r="T29" s="499">
        <v>0</v>
      </c>
      <c r="U29" s="499">
        <v>0</v>
      </c>
      <c r="V29" s="499">
        <v>0</v>
      </c>
      <c r="W29" s="499">
        <v>0</v>
      </c>
      <c r="X29" s="499">
        <v>0</v>
      </c>
      <c r="Y29" s="499">
        <v>0</v>
      </c>
      <c r="Z29" s="499">
        <v>0</v>
      </c>
      <c r="AA29" s="499">
        <v>0</v>
      </c>
      <c r="AB29" s="499">
        <v>0</v>
      </c>
      <c r="AC29" s="499">
        <v>0</v>
      </c>
      <c r="AD29" s="500">
        <v>0.1</v>
      </c>
      <c r="AE29" s="501">
        <v>0</v>
      </c>
      <c r="AF29" s="501">
        <v>0</v>
      </c>
      <c r="AG29" s="501">
        <v>0</v>
      </c>
      <c r="AH29" s="501">
        <v>0</v>
      </c>
      <c r="AI29" s="501">
        <v>0</v>
      </c>
      <c r="AJ29" s="501">
        <v>0</v>
      </c>
      <c r="AK29" s="501">
        <v>0</v>
      </c>
      <c r="AL29" s="501">
        <v>0</v>
      </c>
      <c r="AM29" s="501">
        <v>0</v>
      </c>
      <c r="AN29" s="501">
        <v>0</v>
      </c>
      <c r="AO29" s="501">
        <v>0</v>
      </c>
      <c r="AP29" s="502">
        <v>0</v>
      </c>
      <c r="AQ29" s="501">
        <v>0</v>
      </c>
      <c r="AR29" s="501">
        <v>0</v>
      </c>
      <c r="AS29" s="501">
        <v>0</v>
      </c>
      <c r="AT29" s="501">
        <v>0</v>
      </c>
      <c r="AU29" s="501">
        <v>0</v>
      </c>
      <c r="AV29" s="501">
        <v>0</v>
      </c>
      <c r="AW29" s="501">
        <v>0</v>
      </c>
      <c r="AX29" s="501">
        <v>0</v>
      </c>
      <c r="AY29" s="501">
        <v>0</v>
      </c>
      <c r="AZ29" s="501">
        <v>0</v>
      </c>
      <c r="BA29" s="501">
        <v>0</v>
      </c>
      <c r="BB29" s="502">
        <v>0</v>
      </c>
      <c r="BC29" s="501">
        <v>0</v>
      </c>
      <c r="BD29" s="501">
        <v>0</v>
      </c>
      <c r="BE29" s="501">
        <v>0</v>
      </c>
      <c r="BF29" s="501">
        <v>0</v>
      </c>
      <c r="BG29" s="501">
        <v>0</v>
      </c>
      <c r="BH29" s="501">
        <v>0</v>
      </c>
      <c r="BI29" s="501">
        <v>0</v>
      </c>
      <c r="BJ29" s="501">
        <v>0</v>
      </c>
      <c r="BK29" s="501">
        <v>0</v>
      </c>
      <c r="BL29" s="501">
        <v>0</v>
      </c>
      <c r="BM29" s="501">
        <v>0</v>
      </c>
      <c r="BN29" s="502">
        <v>0</v>
      </c>
    </row>
    <row r="30" spans="1:67" hidden="1">
      <c r="B30" s="489"/>
      <c r="C30" s="489"/>
      <c r="D30" s="489"/>
      <c r="E30" s="489"/>
      <c r="F30" s="489"/>
      <c r="G30" s="489"/>
      <c r="H30" s="489"/>
      <c r="I30" s="489"/>
      <c r="J30" s="489"/>
      <c r="K30" s="489"/>
      <c r="L30" s="489"/>
      <c r="M30" s="489"/>
      <c r="N30" s="489"/>
      <c r="O30" s="489"/>
      <c r="P30" s="489"/>
      <c r="Q30" s="489"/>
      <c r="R30" s="497">
        <f>SUM(G29:R29)</f>
        <v>0</v>
      </c>
      <c r="S30" s="489"/>
      <c r="T30" s="489"/>
      <c r="U30" s="489"/>
      <c r="V30" s="489"/>
      <c r="W30" s="489"/>
      <c r="X30" s="489"/>
      <c r="Y30" s="489"/>
      <c r="Z30" s="489"/>
      <c r="AA30" s="489"/>
      <c r="AB30" s="489"/>
      <c r="AC30" s="489"/>
      <c r="AD30" s="491">
        <f>SUM(S29:AD29)</f>
        <v>0.1</v>
      </c>
      <c r="AE30" s="496"/>
      <c r="AF30" s="496"/>
      <c r="AG30" s="496"/>
      <c r="AH30" s="496"/>
      <c r="AI30" s="496"/>
      <c r="AJ30" s="496"/>
      <c r="AK30" s="496"/>
      <c r="AL30" s="496"/>
      <c r="AM30" s="496"/>
      <c r="AN30" s="496"/>
      <c r="AO30" s="496"/>
      <c r="AP30" s="494">
        <f>SUM(AE29:AP29)</f>
        <v>0</v>
      </c>
      <c r="AQ30" s="496"/>
      <c r="AR30" s="496"/>
      <c r="AS30" s="496"/>
      <c r="AT30" s="496"/>
      <c r="AU30" s="496"/>
      <c r="AV30" s="496"/>
      <c r="AW30" s="496"/>
      <c r="AX30" s="496"/>
      <c r="AY30" s="496"/>
      <c r="AZ30" s="496"/>
      <c r="BA30" s="496"/>
      <c r="BB30" s="494">
        <f>SUM(AQ29:BB29)</f>
        <v>0</v>
      </c>
      <c r="BC30" s="496"/>
      <c r="BD30" s="496"/>
      <c r="BE30" s="496"/>
      <c r="BF30" s="496"/>
      <c r="BG30" s="496"/>
      <c r="BH30" s="496"/>
      <c r="BI30" s="496"/>
      <c r="BJ30" s="496"/>
      <c r="BK30" s="496"/>
      <c r="BL30" s="496"/>
      <c r="BM30" s="496"/>
      <c r="BN30" s="494">
        <f>SUM(BC29:BN29)</f>
        <v>0</v>
      </c>
    </row>
    <row r="31" spans="1:67">
      <c r="B31" s="489"/>
      <c r="C31" s="489"/>
      <c r="D31" s="489"/>
      <c r="E31" s="489"/>
      <c r="F31" s="489"/>
      <c r="G31" s="489"/>
      <c r="H31" s="489"/>
      <c r="I31" s="489"/>
      <c r="J31" s="489"/>
      <c r="K31" s="489"/>
      <c r="L31" s="489"/>
      <c r="M31" s="489"/>
      <c r="N31" s="489"/>
      <c r="O31" s="489"/>
      <c r="P31" s="489"/>
      <c r="Q31" s="489"/>
      <c r="R31" s="495"/>
      <c r="S31" s="489"/>
      <c r="T31" s="489"/>
      <c r="U31" s="489"/>
      <c r="V31" s="489"/>
      <c r="W31" s="489"/>
      <c r="X31" s="489"/>
      <c r="Y31" s="489"/>
      <c r="Z31" s="489"/>
      <c r="AA31" s="489"/>
      <c r="AB31" s="489"/>
      <c r="AC31" s="489"/>
      <c r="AD31" s="495"/>
      <c r="AE31" s="496"/>
      <c r="AF31" s="496"/>
      <c r="AG31" s="496"/>
      <c r="AH31" s="496"/>
      <c r="AI31" s="496"/>
      <c r="AJ31" s="496"/>
      <c r="AK31" s="496"/>
      <c r="AL31" s="496"/>
      <c r="AM31" s="496"/>
      <c r="AN31" s="496"/>
      <c r="AO31" s="496"/>
      <c r="AP31" s="498"/>
      <c r="AQ31" s="496"/>
      <c r="AR31" s="496"/>
      <c r="AS31" s="496"/>
      <c r="AT31" s="496"/>
      <c r="AU31" s="496"/>
      <c r="AV31" s="496"/>
      <c r="AW31" s="496"/>
      <c r="AX31" s="496"/>
      <c r="AY31" s="496"/>
      <c r="AZ31" s="496"/>
      <c r="BA31" s="496"/>
      <c r="BB31" s="498"/>
      <c r="BC31" s="496"/>
      <c r="BD31" s="496"/>
      <c r="BE31" s="496"/>
      <c r="BF31" s="496"/>
      <c r="BG31" s="496"/>
      <c r="BH31" s="496"/>
      <c r="BI31" s="496"/>
      <c r="BJ31" s="496"/>
      <c r="BK31" s="496"/>
      <c r="BL31" s="496"/>
      <c r="BM31" s="496"/>
      <c r="BN31" s="498"/>
    </row>
    <row r="32" spans="1:67">
      <c r="B32" s="489" t="s">
        <v>148</v>
      </c>
      <c r="C32" s="489"/>
      <c r="D32" s="489"/>
      <c r="E32" s="489"/>
      <c r="F32" s="489"/>
      <c r="G32" s="490">
        <v>0.04</v>
      </c>
      <c r="H32" s="490">
        <v>0.04</v>
      </c>
      <c r="I32" s="490">
        <v>0.05</v>
      </c>
      <c r="J32" s="490">
        <v>7.0000000000000007E-2</v>
      </c>
      <c r="K32" s="490">
        <v>0.08</v>
      </c>
      <c r="L32" s="490">
        <v>0.1</v>
      </c>
      <c r="M32" s="490">
        <v>0.08</v>
      </c>
      <c r="N32" s="490">
        <v>0.09</v>
      </c>
      <c r="O32" s="490">
        <v>0.12</v>
      </c>
      <c r="P32" s="490">
        <v>0.12</v>
      </c>
      <c r="Q32" s="490">
        <v>0.13</v>
      </c>
      <c r="R32" s="491">
        <v>0.12</v>
      </c>
      <c r="S32" s="499">
        <v>0.05</v>
      </c>
      <c r="T32" s="499">
        <v>0.05</v>
      </c>
      <c r="U32" s="499">
        <v>0.06</v>
      </c>
      <c r="V32" s="499">
        <v>0.09</v>
      </c>
      <c r="W32" s="499">
        <v>0.04</v>
      </c>
      <c r="X32" s="499">
        <v>0.06</v>
      </c>
      <c r="Y32" s="499">
        <v>0.08</v>
      </c>
      <c r="Z32" s="499">
        <v>0.09</v>
      </c>
      <c r="AA32" s="499">
        <v>0.12</v>
      </c>
      <c r="AB32" s="499">
        <v>0.13</v>
      </c>
      <c r="AC32" s="499">
        <v>0.14000000000000001</v>
      </c>
      <c r="AD32" s="500">
        <v>0.13</v>
      </c>
      <c r="AE32" s="501">
        <v>0.05</v>
      </c>
      <c r="AF32" s="501">
        <v>0.05</v>
      </c>
      <c r="AG32" s="501">
        <v>0.06</v>
      </c>
      <c r="AH32" s="501">
        <v>0.09</v>
      </c>
      <c r="AI32" s="501">
        <v>0.04</v>
      </c>
      <c r="AJ32" s="501">
        <v>0.06</v>
      </c>
      <c r="AK32" s="501">
        <v>0.08</v>
      </c>
      <c r="AL32" s="501">
        <v>0.1</v>
      </c>
      <c r="AM32" s="501">
        <v>0.11</v>
      </c>
      <c r="AN32" s="501">
        <v>0.13</v>
      </c>
      <c r="AO32" s="501">
        <v>0.13</v>
      </c>
      <c r="AP32" s="502">
        <v>0.13</v>
      </c>
      <c r="AQ32" s="501">
        <v>0.05</v>
      </c>
      <c r="AR32" s="501">
        <v>0.05</v>
      </c>
      <c r="AS32" s="501">
        <v>0.06</v>
      </c>
      <c r="AT32" s="501">
        <v>0.09</v>
      </c>
      <c r="AU32" s="501">
        <v>0.04</v>
      </c>
      <c r="AV32" s="501">
        <v>0.06</v>
      </c>
      <c r="AW32" s="501">
        <v>0.08</v>
      </c>
      <c r="AX32" s="501">
        <v>0.1</v>
      </c>
      <c r="AY32" s="501">
        <v>0.11</v>
      </c>
      <c r="AZ32" s="501">
        <v>0.13</v>
      </c>
      <c r="BA32" s="501">
        <v>0.13</v>
      </c>
      <c r="BB32" s="502">
        <v>0.13</v>
      </c>
      <c r="BC32" s="501">
        <v>0.05</v>
      </c>
      <c r="BD32" s="501">
        <v>0.05</v>
      </c>
      <c r="BE32" s="501">
        <v>0.06</v>
      </c>
      <c r="BF32" s="501">
        <v>0.09</v>
      </c>
      <c r="BG32" s="501">
        <v>0.04</v>
      </c>
      <c r="BH32" s="501">
        <v>0.06</v>
      </c>
      <c r="BI32" s="501">
        <v>0.08</v>
      </c>
      <c r="BJ32" s="501">
        <v>0.1</v>
      </c>
      <c r="BK32" s="501">
        <v>0.11</v>
      </c>
      <c r="BL32" s="501">
        <v>0.13</v>
      </c>
      <c r="BM32" s="501">
        <v>0.13</v>
      </c>
      <c r="BN32" s="502">
        <v>0.13</v>
      </c>
    </row>
    <row r="33" spans="2:66">
      <c r="B33" s="489"/>
      <c r="C33" s="489"/>
      <c r="D33" s="489"/>
      <c r="E33" s="489"/>
      <c r="F33" s="489"/>
      <c r="G33" s="489"/>
      <c r="H33" s="489"/>
      <c r="I33" s="489"/>
      <c r="J33" s="489"/>
      <c r="K33" s="489"/>
      <c r="L33" s="489"/>
      <c r="M33" s="489"/>
      <c r="N33" s="489"/>
      <c r="O33" s="489"/>
      <c r="P33" s="489"/>
      <c r="Q33" s="489"/>
      <c r="R33" s="497">
        <f>SUM(G32:R32)</f>
        <v>1.04</v>
      </c>
      <c r="S33" s="489" t="s">
        <v>21</v>
      </c>
      <c r="T33" s="489"/>
      <c r="U33" s="489"/>
      <c r="V33" s="489"/>
      <c r="W33" s="489"/>
      <c r="X33" s="489"/>
      <c r="Y33" s="489"/>
      <c r="Z33" s="489"/>
      <c r="AA33" s="489"/>
      <c r="AB33" s="489"/>
      <c r="AC33" s="489"/>
      <c r="AD33" s="497">
        <f>SUM(S32:AD32)</f>
        <v>1.04</v>
      </c>
      <c r="AE33" s="496" t="s">
        <v>21</v>
      </c>
      <c r="AF33" s="496"/>
      <c r="AG33" s="496"/>
      <c r="AH33" s="496"/>
      <c r="AI33" s="496"/>
      <c r="AJ33" s="496"/>
      <c r="AK33" s="496"/>
      <c r="AL33" s="496"/>
      <c r="AM33" s="496"/>
      <c r="AN33" s="496"/>
      <c r="AO33" s="496"/>
      <c r="AP33" s="503">
        <f>SUM(AE32:AP32)</f>
        <v>1.03</v>
      </c>
      <c r="AQ33" s="496" t="s">
        <v>21</v>
      </c>
      <c r="AR33" s="496"/>
      <c r="AS33" s="496"/>
      <c r="AT33" s="496"/>
      <c r="AU33" s="496"/>
      <c r="AV33" s="496"/>
      <c r="AW33" s="496"/>
      <c r="AX33" s="496"/>
      <c r="AY33" s="496"/>
      <c r="AZ33" s="496"/>
      <c r="BA33" s="496"/>
      <c r="BB33" s="503">
        <f>SUM(AQ32:BB32)</f>
        <v>1.03</v>
      </c>
      <c r="BC33" s="496" t="s">
        <v>21</v>
      </c>
      <c r="BD33" s="496"/>
      <c r="BE33" s="496"/>
      <c r="BF33" s="496"/>
      <c r="BG33" s="496"/>
      <c r="BH33" s="496"/>
      <c r="BI33" s="496"/>
      <c r="BJ33" s="496"/>
      <c r="BK33" s="496"/>
      <c r="BL33" s="496"/>
      <c r="BM33" s="496"/>
      <c r="BN33" s="503">
        <f>SUM(BC32:BN32)</f>
        <v>1.03</v>
      </c>
    </row>
    <row r="34" spans="2:66">
      <c r="B34" s="489" t="s">
        <v>149</v>
      </c>
      <c r="C34" s="489"/>
      <c r="D34" s="489"/>
      <c r="E34" s="489"/>
      <c r="F34" s="489"/>
      <c r="G34" s="489"/>
      <c r="H34" s="489"/>
      <c r="I34" s="489"/>
      <c r="J34" s="489"/>
      <c r="K34" s="489"/>
      <c r="L34" s="489"/>
      <c r="M34" s="489"/>
      <c r="N34" s="489"/>
      <c r="O34" s="489"/>
      <c r="P34" s="489"/>
      <c r="Q34" s="489"/>
      <c r="R34" s="495"/>
      <c r="S34" s="489"/>
      <c r="T34" s="489"/>
      <c r="U34" s="489"/>
      <c r="V34" s="489"/>
      <c r="W34" s="489"/>
      <c r="X34" s="489"/>
      <c r="Y34" s="489"/>
      <c r="Z34" s="489"/>
      <c r="AA34" s="489"/>
      <c r="AB34" s="489"/>
      <c r="AC34" s="489"/>
      <c r="AD34" s="495"/>
      <c r="AE34" s="496"/>
      <c r="AF34" s="496"/>
      <c r="AG34" s="496"/>
      <c r="AH34" s="496"/>
      <c r="AI34" s="496"/>
      <c r="AJ34" s="496"/>
      <c r="AK34" s="496"/>
      <c r="AL34" s="496"/>
      <c r="AM34" s="496"/>
      <c r="AN34" s="496"/>
      <c r="AO34" s="496"/>
      <c r="AP34" s="498"/>
      <c r="AQ34" s="496"/>
      <c r="AR34" s="496"/>
      <c r="AS34" s="496"/>
      <c r="AT34" s="496"/>
      <c r="AU34" s="496"/>
      <c r="AV34" s="496"/>
      <c r="AW34" s="496"/>
      <c r="AX34" s="496"/>
      <c r="AY34" s="496"/>
      <c r="AZ34" s="496"/>
      <c r="BA34" s="496"/>
      <c r="BB34" s="498"/>
      <c r="BC34" s="496"/>
      <c r="BD34" s="496"/>
      <c r="BE34" s="496"/>
      <c r="BF34" s="496"/>
      <c r="BG34" s="496"/>
      <c r="BH34" s="496"/>
      <c r="BI34" s="496"/>
      <c r="BJ34" s="496"/>
      <c r="BK34" s="496"/>
      <c r="BL34" s="496"/>
      <c r="BM34" s="496"/>
      <c r="BN34" s="498"/>
    </row>
    <row r="35" spans="2:66">
      <c r="B35" s="489"/>
      <c r="C35" s="489"/>
      <c r="D35" s="489"/>
      <c r="E35" s="489"/>
      <c r="F35" s="489"/>
      <c r="G35" s="489"/>
      <c r="H35" s="489"/>
      <c r="I35" s="489"/>
      <c r="J35" s="489"/>
      <c r="K35" s="489"/>
      <c r="L35" s="489"/>
      <c r="M35" s="489"/>
      <c r="N35" s="489"/>
      <c r="O35" s="489"/>
      <c r="P35" s="489"/>
      <c r="Q35" s="489"/>
      <c r="R35" s="495"/>
      <c r="S35" s="489"/>
      <c r="T35" s="489"/>
      <c r="U35" s="489"/>
      <c r="V35" s="489"/>
      <c r="W35" s="489"/>
      <c r="X35" s="489"/>
      <c r="Y35" s="489"/>
      <c r="Z35" s="489"/>
      <c r="AA35" s="489"/>
      <c r="AB35" s="489"/>
      <c r="AC35" s="489"/>
      <c r="AD35" s="495"/>
      <c r="AE35" s="496"/>
      <c r="AF35" s="496"/>
      <c r="AG35" s="496"/>
      <c r="AH35" s="496"/>
      <c r="AI35" s="496"/>
      <c r="AJ35" s="496"/>
      <c r="AK35" s="496"/>
      <c r="AL35" s="496"/>
      <c r="AM35" s="496"/>
      <c r="AN35" s="496"/>
      <c r="AO35" s="496"/>
      <c r="AP35" s="498"/>
      <c r="AQ35" s="496"/>
      <c r="AR35" s="496"/>
      <c r="AS35" s="496"/>
      <c r="AT35" s="496"/>
      <c r="AU35" s="496"/>
      <c r="AV35" s="496"/>
      <c r="AW35" s="496"/>
      <c r="AX35" s="496"/>
      <c r="AY35" s="496"/>
      <c r="AZ35" s="496"/>
      <c r="BA35" s="496"/>
      <c r="BB35" s="498"/>
      <c r="BC35" s="496"/>
      <c r="BD35" s="496"/>
      <c r="BE35" s="496"/>
      <c r="BF35" s="496"/>
      <c r="BG35" s="496"/>
      <c r="BH35" s="496"/>
      <c r="BI35" s="496"/>
      <c r="BJ35" s="496"/>
      <c r="BK35" s="496"/>
      <c r="BL35" s="496"/>
      <c r="BM35" s="496"/>
      <c r="BN35" s="498"/>
    </row>
    <row r="36" spans="2:66">
      <c r="B36" s="489" t="s">
        <v>150</v>
      </c>
      <c r="C36" s="490"/>
      <c r="D36" s="490"/>
      <c r="E36" s="490"/>
      <c r="F36" s="490"/>
      <c r="G36" s="490">
        <v>0.1</v>
      </c>
      <c r="H36" s="490">
        <v>0.1</v>
      </c>
      <c r="I36" s="490">
        <v>0.08</v>
      </c>
      <c r="J36" s="490">
        <v>0.08</v>
      </c>
      <c r="K36" s="490">
        <v>0.1</v>
      </c>
      <c r="L36" s="490">
        <v>0.1</v>
      </c>
      <c r="M36" s="490">
        <v>0.05</v>
      </c>
      <c r="N36" s="490">
        <v>7.0000000000000007E-2</v>
      </c>
      <c r="O36" s="490">
        <v>0.08</v>
      </c>
      <c r="P36" s="490">
        <v>0.08</v>
      </c>
      <c r="Q36" s="490">
        <v>0.08</v>
      </c>
      <c r="R36" s="491">
        <v>0.08</v>
      </c>
      <c r="S36" s="499">
        <v>8.3299999999999999E-2</v>
      </c>
      <c r="T36" s="499">
        <v>8.3299999999999999E-2</v>
      </c>
      <c r="U36" s="499">
        <v>8.3299999999999999E-2</v>
      </c>
      <c r="V36" s="499">
        <v>8.3299999999999999E-2</v>
      </c>
      <c r="W36" s="499">
        <v>8.3299999999999999E-2</v>
      </c>
      <c r="X36" s="499">
        <v>8.3299999999999999E-2</v>
      </c>
      <c r="Y36" s="499">
        <v>8.3299999999999999E-2</v>
      </c>
      <c r="Z36" s="499">
        <v>8.3299999999999999E-2</v>
      </c>
      <c r="AA36" s="499">
        <v>8.3299999999999999E-2</v>
      </c>
      <c r="AB36" s="499">
        <v>8.3299999999999999E-2</v>
      </c>
      <c r="AC36" s="499">
        <v>8.3299999999999999E-2</v>
      </c>
      <c r="AD36" s="500">
        <v>8.3299999999999999E-2</v>
      </c>
      <c r="AE36" s="501">
        <v>8.3299999999999999E-2</v>
      </c>
      <c r="AF36" s="501">
        <v>8.3299999999999999E-2</v>
      </c>
      <c r="AG36" s="501">
        <v>8.3299999999999999E-2</v>
      </c>
      <c r="AH36" s="501">
        <v>8.3299999999999999E-2</v>
      </c>
      <c r="AI36" s="501">
        <v>8.3299999999999999E-2</v>
      </c>
      <c r="AJ36" s="501">
        <v>8.3299999999999999E-2</v>
      </c>
      <c r="AK36" s="501">
        <v>8.3299999999999999E-2</v>
      </c>
      <c r="AL36" s="501">
        <v>8.3299999999999999E-2</v>
      </c>
      <c r="AM36" s="501">
        <v>8.3299999999999999E-2</v>
      </c>
      <c r="AN36" s="501">
        <v>8.3299999999999999E-2</v>
      </c>
      <c r="AO36" s="501">
        <v>8.3299999999999999E-2</v>
      </c>
      <c r="AP36" s="502">
        <v>8.3299999999999999E-2</v>
      </c>
      <c r="AQ36" s="501">
        <v>8.3299999999999999E-2</v>
      </c>
      <c r="AR36" s="501">
        <v>8.3299999999999999E-2</v>
      </c>
      <c r="AS36" s="501">
        <v>8.3299999999999999E-2</v>
      </c>
      <c r="AT36" s="501">
        <v>8.3299999999999999E-2</v>
      </c>
      <c r="AU36" s="501">
        <v>8.3299999999999999E-2</v>
      </c>
      <c r="AV36" s="501">
        <v>8.3299999999999999E-2</v>
      </c>
      <c r="AW36" s="501">
        <v>8.3299999999999999E-2</v>
      </c>
      <c r="AX36" s="501">
        <v>8.3299999999999999E-2</v>
      </c>
      <c r="AY36" s="501">
        <v>8.3299999999999999E-2</v>
      </c>
      <c r="AZ36" s="501">
        <v>8.3299999999999999E-2</v>
      </c>
      <c r="BA36" s="501">
        <v>8.3299999999999999E-2</v>
      </c>
      <c r="BB36" s="502">
        <v>8.3299999999999999E-2</v>
      </c>
      <c r="BC36" s="501">
        <v>8.3299999999999999E-2</v>
      </c>
      <c r="BD36" s="501">
        <v>8.3299999999999999E-2</v>
      </c>
      <c r="BE36" s="501">
        <v>8.3299999999999999E-2</v>
      </c>
      <c r="BF36" s="501">
        <v>8.3299999999999999E-2</v>
      </c>
      <c r="BG36" s="501">
        <v>8.3299999999999999E-2</v>
      </c>
      <c r="BH36" s="501">
        <v>8.3299999999999999E-2</v>
      </c>
      <c r="BI36" s="501">
        <v>8.3299999999999999E-2</v>
      </c>
      <c r="BJ36" s="501">
        <v>8.3299999999999999E-2</v>
      </c>
      <c r="BK36" s="501">
        <v>8.3299999999999999E-2</v>
      </c>
      <c r="BL36" s="501">
        <v>8.3299999999999999E-2</v>
      </c>
      <c r="BM36" s="501">
        <v>8.3299999999999999E-2</v>
      </c>
      <c r="BN36" s="502">
        <v>8.3299999999999999E-2</v>
      </c>
    </row>
    <row r="37" spans="2:66">
      <c r="B37" s="489" t="s">
        <v>151</v>
      </c>
      <c r="C37" s="489"/>
      <c r="D37" s="489"/>
      <c r="E37" s="489"/>
      <c r="F37" s="489"/>
      <c r="G37" s="489"/>
      <c r="H37" s="489"/>
      <c r="I37" s="489"/>
      <c r="J37" s="489"/>
      <c r="K37" s="489"/>
      <c r="L37" s="489"/>
      <c r="M37" s="489"/>
      <c r="N37" s="489"/>
      <c r="O37" s="489"/>
      <c r="P37" s="489"/>
      <c r="Q37" s="489"/>
      <c r="R37" s="491">
        <f>SUM(G36:R36)</f>
        <v>1</v>
      </c>
      <c r="S37" s="489"/>
      <c r="T37" s="489"/>
      <c r="U37" s="489"/>
      <c r="V37" s="489"/>
      <c r="W37" s="489"/>
      <c r="X37" s="489"/>
      <c r="Y37" s="489"/>
      <c r="Z37" s="489"/>
      <c r="AA37" s="489"/>
      <c r="AB37" s="489"/>
      <c r="AC37" s="489"/>
      <c r="AD37" s="491">
        <f>SUM(S36:AD36)</f>
        <v>0.99960000000000016</v>
      </c>
      <c r="AE37" s="496"/>
      <c r="AF37" s="496"/>
      <c r="AG37" s="496"/>
      <c r="AH37" s="496"/>
      <c r="AI37" s="496"/>
      <c r="AJ37" s="496"/>
      <c r="AK37" s="496"/>
      <c r="AL37" s="496"/>
      <c r="AM37" s="496"/>
      <c r="AN37" s="496"/>
      <c r="AO37" s="496"/>
      <c r="AP37" s="494">
        <f>SUM(AE36:AP36)</f>
        <v>0.99960000000000016</v>
      </c>
      <c r="AQ37" s="496"/>
      <c r="AR37" s="496"/>
      <c r="AS37" s="496"/>
      <c r="AT37" s="496"/>
      <c r="AU37" s="496"/>
      <c r="AV37" s="496"/>
      <c r="AW37" s="496"/>
      <c r="AX37" s="496"/>
      <c r="AY37" s="496"/>
      <c r="AZ37" s="496"/>
      <c r="BA37" s="496"/>
      <c r="BB37" s="494">
        <f>SUM(AQ36:BB36)</f>
        <v>0.99960000000000016</v>
      </c>
      <c r="BC37" s="496"/>
      <c r="BD37" s="496"/>
      <c r="BE37" s="496"/>
      <c r="BF37" s="496"/>
      <c r="BG37" s="496"/>
      <c r="BH37" s="496"/>
      <c r="BI37" s="496"/>
      <c r="BJ37" s="496"/>
      <c r="BK37" s="496"/>
      <c r="BL37" s="496"/>
      <c r="BM37" s="496"/>
      <c r="BN37" s="494">
        <f>SUM(BC36:BN36)</f>
        <v>0.99960000000000016</v>
      </c>
    </row>
    <row r="38" spans="2:66">
      <c r="B38" s="489" t="s">
        <v>154</v>
      </c>
      <c r="C38" s="489"/>
      <c r="D38" s="489"/>
      <c r="E38" s="489"/>
      <c r="F38" s="489"/>
      <c r="G38" s="489"/>
      <c r="H38" s="489"/>
      <c r="I38" s="489"/>
      <c r="J38" s="489"/>
      <c r="K38" s="489"/>
      <c r="L38" s="489"/>
      <c r="M38" s="489"/>
      <c r="N38" s="489"/>
      <c r="O38" s="489"/>
      <c r="P38" s="489"/>
      <c r="Q38" s="489"/>
      <c r="R38" s="495"/>
      <c r="S38" s="489"/>
      <c r="T38" s="489"/>
      <c r="U38" s="489"/>
      <c r="V38" s="489"/>
      <c r="W38" s="489"/>
      <c r="X38" s="489"/>
      <c r="Y38" s="489"/>
      <c r="Z38" s="489"/>
      <c r="AA38" s="489"/>
      <c r="AB38" s="489"/>
      <c r="AC38" s="489"/>
      <c r="AD38" s="489"/>
      <c r="AE38" s="496"/>
      <c r="AF38" s="496"/>
      <c r="AG38" s="496"/>
      <c r="AH38" s="496"/>
      <c r="AI38" s="496"/>
      <c r="AJ38" s="496"/>
      <c r="AK38" s="496"/>
      <c r="AL38" s="496"/>
      <c r="AM38" s="496"/>
      <c r="AN38" s="496"/>
      <c r="AO38" s="496"/>
      <c r="AP38" s="496"/>
    </row>
    <row r="39" spans="2:66">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96"/>
      <c r="AF39" s="496"/>
      <c r="AG39" s="496"/>
      <c r="AH39" s="496"/>
      <c r="AI39" s="496"/>
      <c r="AJ39" s="496"/>
      <c r="AK39" s="496"/>
      <c r="AL39" s="496"/>
      <c r="AM39" s="496"/>
      <c r="AN39" s="496"/>
      <c r="AO39" s="496"/>
      <c r="AP39" s="496"/>
    </row>
  </sheetData>
  <sheetProtection algorithmName="SHA-512" hashValue="QwmyWhoyF87x6LcwAiZGKw50jekvA1bGZDRAk2zZOkgzMgAlmdcad2+sWZ6lZlbdiDhyM2F9C3ltM7gZRWit6Q==" saltValue="G+8P5nn+NdNa2epAtC05qw==" spinCount="100000" sheet="1" objects="1" scenarios="1" selectLockedCells="1" selectUnlockedCells="1"/>
  <mergeCells count="10">
    <mergeCell ref="AQ1:BB1"/>
    <mergeCell ref="BC1:BN1"/>
    <mergeCell ref="AE1:AP1"/>
    <mergeCell ref="A8:A19"/>
    <mergeCell ref="G25:R25"/>
    <mergeCell ref="S25:AD25"/>
    <mergeCell ref="S1:AD1"/>
    <mergeCell ref="G1:R1"/>
    <mergeCell ref="C6:G6"/>
    <mergeCell ref="D8:G8"/>
  </mergeCell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0"/>
  <sheetViews>
    <sheetView zoomScale="150" workbookViewId="0">
      <selection activeCell="D8" sqref="D8"/>
    </sheetView>
  </sheetViews>
  <sheetFormatPr baseColWidth="10" defaultColWidth="8.83203125" defaultRowHeight="12"/>
  <cols>
    <col min="1" max="1" width="24.1640625" style="1" customWidth="1"/>
    <col min="2" max="2" width="24.83203125" style="2" customWidth="1"/>
    <col min="3" max="3" width="16.5" style="3" customWidth="1"/>
    <col min="4" max="4" width="15.83203125" style="3" customWidth="1"/>
    <col min="5" max="5" width="16.33203125" style="3" customWidth="1"/>
    <col min="6" max="6" width="17.1640625" style="3" customWidth="1"/>
    <col min="7" max="7" width="18.5" style="3" customWidth="1"/>
    <col min="8" max="16384" width="8.83203125" style="2"/>
  </cols>
  <sheetData>
    <row r="1" spans="1:10">
      <c r="A1" s="117"/>
      <c r="B1" s="85"/>
      <c r="C1" s="118"/>
      <c r="D1" s="118"/>
      <c r="E1" s="118"/>
      <c r="F1" s="81" t="s">
        <v>21</v>
      </c>
      <c r="G1" s="81" t="s">
        <v>21</v>
      </c>
      <c r="H1" s="85"/>
      <c r="I1" s="85"/>
      <c r="J1" s="85"/>
    </row>
    <row r="2" spans="1:10">
      <c r="A2" s="117"/>
      <c r="B2" s="86"/>
      <c r="C2" s="119" t="s">
        <v>22</v>
      </c>
      <c r="D2" s="119" t="s">
        <v>23</v>
      </c>
      <c r="E2" s="119" t="s">
        <v>24</v>
      </c>
      <c r="F2" s="119" t="s">
        <v>25</v>
      </c>
      <c r="G2" s="119" t="s">
        <v>26</v>
      </c>
      <c r="H2" s="85"/>
      <c r="I2" s="85"/>
      <c r="J2" s="85"/>
    </row>
    <row r="3" spans="1:10" s="4" customFormat="1">
      <c r="A3" s="120"/>
      <c r="B3" s="121" t="s">
        <v>15</v>
      </c>
      <c r="C3" s="122">
        <v>1700</v>
      </c>
      <c r="D3" s="123">
        <v>3000</v>
      </c>
      <c r="E3" s="123">
        <v>4800</v>
      </c>
      <c r="F3" s="123">
        <v>9000</v>
      </c>
      <c r="G3" s="123">
        <v>16000</v>
      </c>
      <c r="H3" s="124"/>
      <c r="I3" s="124"/>
      <c r="J3" s="124"/>
    </row>
    <row r="4" spans="1:10" s="162" customFormat="1">
      <c r="A4" s="158"/>
      <c r="B4" s="159" t="s">
        <v>134</v>
      </c>
      <c r="C4" s="160">
        <f>C3*100</f>
        <v>170000</v>
      </c>
      <c r="D4" s="160">
        <f t="shared" ref="D4:F4" si="0">D3*100</f>
        <v>300000</v>
      </c>
      <c r="E4" s="160">
        <f t="shared" si="0"/>
        <v>480000</v>
      </c>
      <c r="F4" s="160">
        <f t="shared" si="0"/>
        <v>900000</v>
      </c>
      <c r="G4" s="160">
        <f>G3*100</f>
        <v>1600000</v>
      </c>
      <c r="H4" s="161"/>
      <c r="I4" s="161"/>
      <c r="J4" s="161"/>
    </row>
    <row r="5" spans="1:10">
      <c r="A5" s="74" t="s">
        <v>77</v>
      </c>
      <c r="B5" s="75" t="s">
        <v>21</v>
      </c>
      <c r="C5" s="50">
        <f>'P&amp;L MASTER'!C10</f>
        <v>510000</v>
      </c>
      <c r="D5" s="50">
        <f>'P&amp;L MASTER'!D10</f>
        <v>948300</v>
      </c>
      <c r="E5" s="50">
        <f>'P&amp;L MASTER'!E10</f>
        <v>1597516.8</v>
      </c>
      <c r="F5" s="50">
        <f>'P&amp;L MASTER'!F10</f>
        <v>3119522.1750000003</v>
      </c>
      <c r="G5" s="50">
        <f>'P&amp;L MASTER'!G10</f>
        <v>5835587.4872000003</v>
      </c>
      <c r="H5" s="85"/>
      <c r="I5" s="85"/>
      <c r="J5" s="85"/>
    </row>
    <row r="6" spans="1:10" hidden="1">
      <c r="A6" s="6" t="s">
        <v>92</v>
      </c>
      <c r="B6" s="7" t="s">
        <v>93</v>
      </c>
      <c r="C6" s="8">
        <f>'P&amp;L MASTER'!C16</f>
        <v>0</v>
      </c>
      <c r="D6" s="8">
        <f>'P&amp;L MASTER'!D16</f>
        <v>0</v>
      </c>
      <c r="E6" s="8">
        <f>'P&amp;L MASTER'!E16</f>
        <v>0</v>
      </c>
      <c r="F6" s="8">
        <f>'P&amp;L MASTER'!F16</f>
        <v>0</v>
      </c>
      <c r="G6" s="8">
        <f>'P&amp;L MASTER'!G16</f>
        <v>0</v>
      </c>
      <c r="H6" s="85"/>
      <c r="I6" s="85"/>
      <c r="J6" s="85"/>
    </row>
    <row r="7" spans="1:10">
      <c r="A7" s="55" t="s">
        <v>49</v>
      </c>
      <c r="B7" s="56" t="s">
        <v>2</v>
      </c>
      <c r="C7" s="41">
        <f>'P&amp;L MASTER'!C17</f>
        <v>82398.954779999985</v>
      </c>
      <c r="D7" s="41">
        <f>'P&amp;L MASTER'!D17</f>
        <v>151080.90708779998</v>
      </c>
      <c r="E7" s="41">
        <f>'P&amp;L MASTER'!E17</f>
        <v>251156.8999427587</v>
      </c>
      <c r="F7" s="41">
        <f>'P&amp;L MASTER'!F17</f>
        <v>672766.9240888569</v>
      </c>
      <c r="G7" s="41">
        <f>'P&amp;L MASTER'!G17</f>
        <v>1430959.3910775082</v>
      </c>
      <c r="H7" s="163" t="s">
        <v>21</v>
      </c>
      <c r="I7" s="85"/>
      <c r="J7" s="85"/>
    </row>
    <row r="8" spans="1:10">
      <c r="A8" s="367" t="s">
        <v>51</v>
      </c>
      <c r="B8" s="7" t="s">
        <v>58</v>
      </c>
      <c r="C8" s="9">
        <f>'P&amp;L MASTER'!C18</f>
        <v>54400</v>
      </c>
      <c r="D8" s="9">
        <f>'P&amp;L MASTER'!D18</f>
        <v>96000</v>
      </c>
      <c r="E8" s="9">
        <f>'P&amp;L MASTER'!E18</f>
        <v>153600</v>
      </c>
      <c r="F8" s="9">
        <f>'P&amp;L MASTER'!F18</f>
        <v>279000</v>
      </c>
      <c r="G8" s="9">
        <f>'P&amp;L MASTER'!G18</f>
        <v>464000</v>
      </c>
      <c r="H8" s="163" t="s">
        <v>21</v>
      </c>
      <c r="I8" s="85"/>
      <c r="J8" s="85"/>
    </row>
    <row r="9" spans="1:10">
      <c r="A9" s="367"/>
      <c r="B9" s="7" t="s">
        <v>59</v>
      </c>
      <c r="C9" s="9">
        <f>'P&amp;L MASTER'!C19</f>
        <v>0</v>
      </c>
      <c r="D9" s="9">
        <f>'P&amp;L MASTER'!D19</f>
        <v>14999.999999999996</v>
      </c>
      <c r="E9" s="9">
        <f>'P&amp;L MASTER'!E19</f>
        <v>47999.999999999985</v>
      </c>
      <c r="F9" s="9">
        <f>'P&amp;L MASTER'!F19</f>
        <v>112500</v>
      </c>
      <c r="G9" s="9">
        <f>'P&amp;L MASTER'!G19</f>
        <v>280000</v>
      </c>
      <c r="H9" s="85"/>
      <c r="I9" s="85"/>
      <c r="J9" s="85"/>
    </row>
    <row r="10" spans="1:10">
      <c r="A10" s="57" t="s">
        <v>103</v>
      </c>
      <c r="B10" s="58"/>
      <c r="C10" s="41">
        <f>SUM('P&amp;L MASTER'!C20:C28)</f>
        <v>104450</v>
      </c>
      <c r="D10" s="41">
        <f>SUM('P&amp;L MASTER'!D20:D28)</f>
        <v>165635</v>
      </c>
      <c r="E10" s="41">
        <f>SUM('P&amp;L MASTER'!E20:E28)</f>
        <v>222116.75</v>
      </c>
      <c r="F10" s="41">
        <f>SUM('P&amp;L MASTER'!F20:F28)</f>
        <v>374822.58749999997</v>
      </c>
      <c r="G10" s="41">
        <f>SUM('P&amp;L MASTER'!G20:G28)</f>
        <v>442220.50162500003</v>
      </c>
      <c r="H10" s="85"/>
      <c r="I10" s="85"/>
      <c r="J10" s="85"/>
    </row>
    <row r="11" spans="1:10" ht="14.5" customHeight="1">
      <c r="A11" s="10" t="s">
        <v>138</v>
      </c>
      <c r="B11" s="7" t="s">
        <v>21</v>
      </c>
      <c r="C11" s="9">
        <f>SUM('P&amp;L MASTER'!C29:C33)</f>
        <v>30564.000000000004</v>
      </c>
      <c r="D11" s="9">
        <f>SUM('P&amp;L MASTER'!D29:D33)</f>
        <v>55306.130000000005</v>
      </c>
      <c r="E11" s="9">
        <f>SUM('P&amp;L MASTER'!E29:E33)</f>
        <v>73741.036500000002</v>
      </c>
      <c r="F11" s="9">
        <f>SUM('P&amp;L MASTER'!F29:F33)</f>
        <v>107176.88832499999</v>
      </c>
      <c r="G11" s="9">
        <f>SUM('P&amp;L MASTER'!G29:G33)</f>
        <v>122863.36903675002</v>
      </c>
      <c r="H11" s="85"/>
      <c r="I11" s="85"/>
      <c r="J11" s="85"/>
    </row>
    <row r="12" spans="1:10">
      <c r="A12" s="59" t="s">
        <v>66</v>
      </c>
      <c r="B12" s="56" t="s">
        <v>21</v>
      </c>
      <c r="C12" s="41">
        <f>SUM('P&amp;L MASTER'!C34:C35)</f>
        <v>0</v>
      </c>
      <c r="D12" s="41">
        <f>SUM('P&amp;L MASTER'!D34:D35)</f>
        <v>8750</v>
      </c>
      <c r="E12" s="41">
        <f>SUM('P&amp;L MASTER'!E34:E35)</f>
        <v>11250</v>
      </c>
      <c r="F12" s="41">
        <f>SUM('P&amp;L MASTER'!F34:F35)</f>
        <v>17500</v>
      </c>
      <c r="G12" s="41">
        <f>SUM('P&amp;L MASTER'!G34:G35)</f>
        <v>20000</v>
      </c>
      <c r="H12" s="85"/>
      <c r="I12" s="85"/>
      <c r="J12" s="85"/>
    </row>
    <row r="13" spans="1:10">
      <c r="A13" s="10" t="s">
        <v>52</v>
      </c>
      <c r="B13" s="7" t="s">
        <v>1</v>
      </c>
      <c r="C13" s="9">
        <f>SUM('P&amp;L MASTER'!C36:C38)</f>
        <v>51000</v>
      </c>
      <c r="D13" s="9">
        <f>SUM('P&amp;L MASTER'!D36:D38)</f>
        <v>92830</v>
      </c>
      <c r="E13" s="9">
        <f>SUM('P&amp;L MASTER'!E36:E38)</f>
        <v>174639.26400000002</v>
      </c>
      <c r="F13" s="9">
        <f>SUM('P&amp;L MASTER'!F36:F38)</f>
        <v>343294.82837500004</v>
      </c>
      <c r="G13" s="9">
        <f>SUM('P&amp;L MASTER'!G36:G38)</f>
        <v>637268.93615600001</v>
      </c>
      <c r="H13" s="85"/>
      <c r="I13" s="85"/>
      <c r="J13" s="85"/>
    </row>
    <row r="14" spans="1:10" ht="15" customHeight="1">
      <c r="A14" s="59" t="s">
        <v>94</v>
      </c>
      <c r="B14" s="56"/>
      <c r="C14" s="41">
        <f>SUM('P&amp;L MASTER'!C39:C44)</f>
        <v>22600</v>
      </c>
      <c r="D14" s="41">
        <f>SUM('P&amp;L MASTER'!D39:D44)</f>
        <v>24800</v>
      </c>
      <c r="E14" s="41">
        <f>SUM('P&amp;L MASTER'!E39:E44)</f>
        <v>40000</v>
      </c>
      <c r="F14" s="41">
        <f>SUM('P&amp;L MASTER'!F39:F44)</f>
        <v>55200</v>
      </c>
      <c r="G14" s="41">
        <f>SUM('P&amp;L MASTER'!G39:G44)</f>
        <v>71400</v>
      </c>
      <c r="H14" s="85"/>
      <c r="I14" s="85"/>
      <c r="J14" s="85"/>
    </row>
    <row r="15" spans="1:10">
      <c r="A15" s="6" t="s">
        <v>85</v>
      </c>
      <c r="B15" s="11" t="s">
        <v>71</v>
      </c>
      <c r="C15" s="9">
        <f>'P&amp;L MASTER'!C45</f>
        <v>0</v>
      </c>
      <c r="D15" s="9">
        <f>'P&amp;L MASTER'!D45</f>
        <v>47415</v>
      </c>
      <c r="E15" s="9">
        <f>'P&amp;L MASTER'!E45</f>
        <v>103358.20799999998</v>
      </c>
      <c r="F15" s="9">
        <f>'P&amp;L MASTER'!F45</f>
        <v>267696.77400000003</v>
      </c>
      <c r="G15" s="9">
        <f>'P&amp;L MASTER'!G45</f>
        <v>769990.49846399995</v>
      </c>
      <c r="H15" s="85"/>
      <c r="I15" s="85"/>
      <c r="J15" s="85"/>
    </row>
    <row r="16" spans="1:10">
      <c r="A16" s="59" t="s">
        <v>53</v>
      </c>
      <c r="B16" s="56" t="s">
        <v>21</v>
      </c>
      <c r="C16" s="41">
        <f>SUM('P&amp;L MASTER'!C46:C52)</f>
        <v>75000</v>
      </c>
      <c r="D16" s="41">
        <f>SUM('P&amp;L MASTER'!D46:D52)</f>
        <v>114000</v>
      </c>
      <c r="E16" s="41">
        <f>SUM('P&amp;L MASTER'!E46:E52)</f>
        <v>168000</v>
      </c>
      <c r="F16" s="41">
        <f>SUM('P&amp;L MASTER'!F46:F52)</f>
        <v>309900</v>
      </c>
      <c r="G16" s="41">
        <f>SUM('P&amp;L MASTER'!G46:G52)</f>
        <v>497845</v>
      </c>
      <c r="H16" s="85"/>
      <c r="I16" s="85"/>
      <c r="J16" s="85"/>
    </row>
    <row r="17" spans="1:10">
      <c r="A17" s="12" t="s">
        <v>351</v>
      </c>
      <c r="B17" s="7"/>
      <c r="C17" s="9">
        <f>SUM('P&amp;L MASTER'!C53:C64)</f>
        <v>157100</v>
      </c>
      <c r="D17" s="9">
        <f>SUM('P&amp;L MASTER'!D53:D64)</f>
        <v>182600</v>
      </c>
      <c r="E17" s="9">
        <f>SUM('P&amp;L MASTER'!E53:E64)</f>
        <v>240600</v>
      </c>
      <c r="F17" s="9">
        <f>SUM('P&amp;L MASTER'!F53:F64)</f>
        <v>252500</v>
      </c>
      <c r="G17" s="9">
        <f>SUM('P&amp;L MASTER'!G53:G64)</f>
        <v>278745</v>
      </c>
      <c r="H17" s="85"/>
      <c r="I17" s="85"/>
      <c r="J17" s="85"/>
    </row>
    <row r="18" spans="1:10" s="5" customFormat="1" ht="13" thickBot="1">
      <c r="A18" s="76" t="s">
        <v>42</v>
      </c>
      <c r="B18" s="77" t="s">
        <v>21</v>
      </c>
      <c r="C18" s="78">
        <f>'P&amp;L MASTER'!C66</f>
        <v>10200</v>
      </c>
      <c r="D18" s="78">
        <f>'P&amp;L MASTER'!D66</f>
        <v>18966</v>
      </c>
      <c r="E18" s="78">
        <f>'P&amp;L MASTER'!E66</f>
        <v>31950.336000000003</v>
      </c>
      <c r="F18" s="78">
        <f>'P&amp;L MASTER'!F66</f>
        <v>46792.832625000003</v>
      </c>
      <c r="G18" s="78">
        <f>'P&amp;L MASTER'!G66</f>
        <v>87533.812308000008</v>
      </c>
      <c r="H18" s="125"/>
      <c r="I18" s="125"/>
      <c r="J18" s="125"/>
    </row>
    <row r="19" spans="1:10" s="5" customFormat="1" ht="13" thickBot="1">
      <c r="A19" s="277" t="s">
        <v>252</v>
      </c>
      <c r="B19" s="270" t="s">
        <v>253</v>
      </c>
      <c r="C19" s="276">
        <f>'P&amp;L MASTER'!C65</f>
        <v>0</v>
      </c>
      <c r="D19" s="276">
        <f>'P&amp;L MASTER'!D65</f>
        <v>0</v>
      </c>
      <c r="E19" s="276">
        <f>'P&amp;L MASTER'!E65</f>
        <v>0</v>
      </c>
      <c r="F19" s="276">
        <f>'P&amp;L MASTER'!F65</f>
        <v>0</v>
      </c>
      <c r="G19" s="276">
        <f>'P&amp;L MASTER'!G65</f>
        <v>0</v>
      </c>
      <c r="H19" s="125"/>
      <c r="I19" s="125"/>
      <c r="J19" s="125"/>
    </row>
    <row r="20" spans="1:10">
      <c r="A20" s="126" t="s">
        <v>3</v>
      </c>
      <c r="B20" s="127" t="s">
        <v>21</v>
      </c>
      <c r="C20" s="164">
        <f>(C5-SUM(C7:C19))+C6</f>
        <v>-77712.954780000029</v>
      </c>
      <c r="D20" s="164">
        <f>(D5-SUM(D7:D19))+D6</f>
        <v>-24083.037087799981</v>
      </c>
      <c r="E20" s="164">
        <f t="shared" ref="E20:G20" si="1">(E5-SUM(E7:E19))+E6</f>
        <v>79104.305557241198</v>
      </c>
      <c r="F20" s="164">
        <f t="shared" si="1"/>
        <v>280371.34008614346</v>
      </c>
      <c r="G20" s="164">
        <f t="shared" si="1"/>
        <v>732760.97853274178</v>
      </c>
      <c r="H20" s="85"/>
      <c r="I20" s="85"/>
      <c r="J20" s="85"/>
    </row>
    <row r="21" spans="1:10" ht="13" thickBot="1">
      <c r="A21" s="128" t="s">
        <v>6</v>
      </c>
      <c r="B21" s="127" t="s">
        <v>21</v>
      </c>
      <c r="C21" s="325">
        <f>C20/(C5+C6)</f>
        <v>-0.15237834270588241</v>
      </c>
      <c r="D21" s="342">
        <f>D20/(D5+D6)</f>
        <v>-2.539601084867656E-2</v>
      </c>
      <c r="E21" s="129">
        <f>E20/(E5+E6)</f>
        <v>4.9517041421562012E-2</v>
      </c>
      <c r="F21" s="129">
        <f>F20/(F5+F6)</f>
        <v>8.9876373482148247E-2</v>
      </c>
      <c r="G21" s="129">
        <f>G20/(G5+G6)</f>
        <v>0.12556764509828833</v>
      </c>
      <c r="H21" s="85"/>
      <c r="I21" s="85"/>
      <c r="J21" s="85"/>
    </row>
    <row r="22" spans="1:10" ht="13" thickTop="1">
      <c r="A22" s="126"/>
      <c r="B22" s="130" t="s">
        <v>11</v>
      </c>
      <c r="C22" s="131">
        <v>25000</v>
      </c>
      <c r="D22" s="132">
        <v>25000</v>
      </c>
      <c r="E22" s="132">
        <v>25000</v>
      </c>
      <c r="F22" s="132">
        <v>25000</v>
      </c>
      <c r="G22" s="132">
        <v>25000</v>
      </c>
      <c r="H22" s="85"/>
      <c r="I22" s="85"/>
      <c r="J22" s="85"/>
    </row>
    <row r="23" spans="1:10">
      <c r="A23" s="126"/>
      <c r="B23" s="133" t="s">
        <v>43</v>
      </c>
      <c r="C23" s="134">
        <v>2000</v>
      </c>
      <c r="D23" s="134">
        <v>2000</v>
      </c>
      <c r="E23" s="134">
        <v>2000</v>
      </c>
      <c r="F23" s="134">
        <v>2000</v>
      </c>
      <c r="G23" s="134">
        <v>2000</v>
      </c>
      <c r="H23" s="85"/>
      <c r="I23" s="85"/>
      <c r="J23" s="85"/>
    </row>
    <row r="24" spans="1:10">
      <c r="A24" s="126"/>
      <c r="B24" s="133" t="s">
        <v>68</v>
      </c>
      <c r="C24" s="135">
        <f>C20-C22</f>
        <v>-102712.95478000003</v>
      </c>
      <c r="D24" s="135">
        <f>D20-D22</f>
        <v>-49083.037087799981</v>
      </c>
      <c r="E24" s="136">
        <f>E20-E22</f>
        <v>54104.305557241198</v>
      </c>
      <c r="F24" s="136">
        <f>F20-F22</f>
        <v>255371.34008614346</v>
      </c>
      <c r="G24" s="136">
        <f>G20-G22</f>
        <v>707760.97853274178</v>
      </c>
      <c r="H24" s="85"/>
      <c r="I24" s="85"/>
      <c r="J24" s="85"/>
    </row>
    <row r="25" spans="1:10">
      <c r="A25" s="126"/>
      <c r="B25" s="133" t="s">
        <v>69</v>
      </c>
      <c r="C25" s="137">
        <f>C24/C5</f>
        <v>-0.20139795054901966</v>
      </c>
      <c r="D25" s="137">
        <f>D24/D5</f>
        <v>-5.1758976155014215E-2</v>
      </c>
      <c r="E25" s="138">
        <f>E24/E5</f>
        <v>3.3867753727060142E-2</v>
      </c>
      <c r="F25" s="138">
        <f>F24/F5</f>
        <v>8.1862325625604332E-2</v>
      </c>
      <c r="G25" s="138">
        <f>G24/G5</f>
        <v>0.12128358628590037</v>
      </c>
      <c r="H25" s="85"/>
      <c r="I25" s="85"/>
      <c r="J25" s="85"/>
    </row>
    <row r="26" spans="1:10">
      <c r="A26" s="117"/>
      <c r="B26" s="85"/>
      <c r="C26" s="118"/>
      <c r="D26" s="118"/>
      <c r="E26" s="118"/>
      <c r="F26" s="118"/>
      <c r="G26" s="118"/>
      <c r="H26" s="85"/>
      <c r="I26" s="85"/>
      <c r="J26" s="85"/>
    </row>
    <row r="27" spans="1:10">
      <c r="A27" s="365" t="s">
        <v>348</v>
      </c>
      <c r="B27" s="365"/>
      <c r="C27" s="365"/>
      <c r="D27" s="365"/>
      <c r="E27" s="365"/>
      <c r="F27" s="365"/>
      <c r="G27" s="365"/>
      <c r="H27" s="85"/>
      <c r="I27" s="85"/>
      <c r="J27" s="85"/>
    </row>
    <row r="28" spans="1:10">
      <c r="A28" s="365"/>
      <c r="B28" s="365"/>
      <c r="C28" s="365"/>
      <c r="D28" s="365"/>
      <c r="E28" s="365"/>
      <c r="F28" s="365"/>
      <c r="G28" s="365"/>
      <c r="H28" s="85"/>
      <c r="I28" s="85"/>
      <c r="J28" s="85"/>
    </row>
    <row r="29" spans="1:10">
      <c r="A29" s="368" t="s">
        <v>99</v>
      </c>
      <c r="B29" s="368"/>
      <c r="C29" s="368"/>
      <c r="D29" s="368"/>
      <c r="E29" s="368"/>
      <c r="F29" s="368"/>
      <c r="G29" s="368"/>
      <c r="H29" s="85"/>
      <c r="I29" s="85"/>
      <c r="J29" s="85"/>
    </row>
    <row r="30" spans="1:10">
      <c r="A30" s="366" t="s">
        <v>349</v>
      </c>
      <c r="B30" s="366"/>
      <c r="C30" s="366"/>
      <c r="D30" s="366"/>
      <c r="E30" s="366"/>
      <c r="F30" s="366"/>
      <c r="G30" s="366"/>
      <c r="H30" s="85"/>
      <c r="I30" s="85"/>
      <c r="J30" s="85"/>
    </row>
    <row r="31" spans="1:10">
      <c r="A31" s="365" t="s">
        <v>100</v>
      </c>
      <c r="B31" s="365"/>
      <c r="C31" s="365"/>
      <c r="D31" s="365"/>
      <c r="E31" s="365"/>
      <c r="F31" s="365"/>
      <c r="G31" s="365"/>
      <c r="H31" s="85"/>
      <c r="I31" s="85"/>
      <c r="J31" s="85"/>
    </row>
    <row r="32" spans="1:10">
      <c r="A32" s="365"/>
      <c r="B32" s="365"/>
      <c r="C32" s="365"/>
      <c r="D32" s="365"/>
      <c r="E32" s="365"/>
      <c r="F32" s="365"/>
      <c r="G32" s="365"/>
      <c r="H32" s="85"/>
      <c r="I32" s="85"/>
      <c r="J32" s="85"/>
    </row>
    <row r="33" spans="1:10">
      <c r="A33" s="365" t="s">
        <v>101</v>
      </c>
      <c r="B33" s="365"/>
      <c r="C33" s="365"/>
      <c r="D33" s="365"/>
      <c r="E33" s="365"/>
      <c r="F33" s="365"/>
      <c r="G33" s="365"/>
      <c r="H33" s="85"/>
      <c r="I33" s="85"/>
      <c r="J33" s="85"/>
    </row>
    <row r="34" spans="1:10">
      <c r="A34" s="365"/>
      <c r="B34" s="365"/>
      <c r="C34" s="365"/>
      <c r="D34" s="365"/>
      <c r="E34" s="365"/>
      <c r="F34" s="365"/>
      <c r="G34" s="365"/>
      <c r="H34" s="85"/>
      <c r="I34" s="85"/>
      <c r="J34" s="85"/>
    </row>
    <row r="35" spans="1:10">
      <c r="A35" s="365" t="s">
        <v>102</v>
      </c>
      <c r="B35" s="365"/>
      <c r="C35" s="365"/>
      <c r="D35" s="365"/>
      <c r="E35" s="365"/>
      <c r="F35" s="365"/>
      <c r="G35" s="365"/>
      <c r="H35" s="85"/>
      <c r="I35" s="85"/>
      <c r="J35" s="85"/>
    </row>
    <row r="36" spans="1:10">
      <c r="A36" s="365"/>
      <c r="B36" s="365"/>
      <c r="C36" s="365"/>
      <c r="D36" s="365"/>
      <c r="E36" s="365"/>
      <c r="F36" s="365"/>
      <c r="G36" s="365"/>
      <c r="H36" s="85"/>
      <c r="I36" s="85"/>
      <c r="J36" s="85"/>
    </row>
    <row r="37" spans="1:10">
      <c r="A37" s="117"/>
      <c r="B37" s="85"/>
      <c r="C37" s="118"/>
      <c r="D37" s="118"/>
      <c r="E37" s="118"/>
      <c r="F37" s="118"/>
      <c r="G37" s="118"/>
      <c r="H37" s="85"/>
      <c r="I37" s="85"/>
      <c r="J37" s="85"/>
    </row>
    <row r="38" spans="1:10">
      <c r="A38" s="117"/>
      <c r="B38" s="85"/>
      <c r="C38" s="118"/>
      <c r="D38" s="118"/>
      <c r="E38" s="118"/>
      <c r="F38" s="118"/>
      <c r="G38" s="118"/>
      <c r="H38" s="85"/>
      <c r="I38" s="85"/>
      <c r="J38" s="85"/>
    </row>
    <row r="39" spans="1:10">
      <c r="A39" s="117"/>
      <c r="B39" s="85"/>
      <c r="C39" s="118"/>
      <c r="D39" s="118"/>
      <c r="E39" s="118"/>
      <c r="F39" s="118"/>
      <c r="G39" s="118"/>
      <c r="H39" s="85"/>
      <c r="I39" s="85"/>
      <c r="J39" s="85"/>
    </row>
    <row r="40" spans="1:10">
      <c r="A40" s="117"/>
      <c r="B40" s="85"/>
      <c r="C40" s="118"/>
      <c r="D40" s="118"/>
      <c r="E40" s="118"/>
      <c r="F40" s="118"/>
      <c r="G40" s="118"/>
      <c r="H40" s="85"/>
      <c r="I40" s="85"/>
      <c r="J40" s="85"/>
    </row>
    <row r="41" spans="1:10">
      <c r="A41" s="117"/>
      <c r="B41" s="85"/>
      <c r="C41" s="118"/>
      <c r="D41" s="118"/>
      <c r="E41" s="118"/>
      <c r="F41" s="118"/>
      <c r="G41" s="118"/>
      <c r="H41" s="85"/>
      <c r="I41" s="85"/>
      <c r="J41" s="85"/>
    </row>
    <row r="42" spans="1:10">
      <c r="A42" s="117"/>
      <c r="B42" s="85"/>
      <c r="C42" s="118"/>
      <c r="D42" s="118"/>
      <c r="E42" s="118"/>
      <c r="F42" s="118"/>
      <c r="G42" s="118"/>
      <c r="H42" s="85"/>
      <c r="I42" s="85"/>
      <c r="J42" s="85"/>
    </row>
    <row r="43" spans="1:10">
      <c r="A43" s="117"/>
      <c r="B43" s="85"/>
      <c r="C43" s="118"/>
      <c r="D43" s="118"/>
      <c r="E43" s="118"/>
      <c r="F43" s="118"/>
      <c r="G43" s="118"/>
      <c r="H43" s="85"/>
      <c r="I43" s="85"/>
      <c r="J43" s="85"/>
    </row>
    <row r="44" spans="1:10">
      <c r="A44" s="117"/>
      <c r="B44" s="85"/>
      <c r="C44" s="118"/>
      <c r="D44" s="118"/>
      <c r="E44" s="118"/>
      <c r="F44" s="118"/>
      <c r="G44" s="118"/>
      <c r="H44" s="85"/>
      <c r="I44" s="85"/>
      <c r="J44" s="85"/>
    </row>
    <row r="45" spans="1:10">
      <c r="A45" s="117"/>
      <c r="B45" s="85"/>
      <c r="C45" s="118"/>
      <c r="D45" s="118"/>
      <c r="E45" s="118"/>
      <c r="F45" s="118"/>
      <c r="G45" s="118"/>
      <c r="H45" s="85"/>
      <c r="I45" s="85"/>
      <c r="J45" s="85"/>
    </row>
    <row r="46" spans="1:10">
      <c r="H46" s="85"/>
      <c r="I46" s="85"/>
      <c r="J46" s="85"/>
    </row>
    <row r="47" spans="1:10">
      <c r="H47" s="85"/>
      <c r="I47" s="85"/>
      <c r="J47" s="85"/>
    </row>
    <row r="48" spans="1:10">
      <c r="H48" s="85"/>
      <c r="I48" s="85"/>
      <c r="J48" s="85"/>
    </row>
    <row r="49" spans="8:10">
      <c r="H49" s="85"/>
      <c r="I49" s="85"/>
      <c r="J49" s="85"/>
    </row>
    <row r="50" spans="8:10">
      <c r="H50" s="85"/>
      <c r="I50" s="85"/>
      <c r="J50" s="85"/>
    </row>
    <row r="51" spans="8:10">
      <c r="H51" s="85"/>
      <c r="I51" s="85"/>
      <c r="J51" s="85"/>
    </row>
    <row r="52" spans="8:10">
      <c r="H52" s="85"/>
      <c r="I52" s="85"/>
      <c r="J52" s="85"/>
    </row>
    <row r="53" spans="8:10">
      <c r="H53" s="85"/>
      <c r="I53" s="85"/>
      <c r="J53" s="85"/>
    </row>
    <row r="54" spans="8:10">
      <c r="H54" s="85"/>
      <c r="I54" s="85"/>
      <c r="J54" s="85"/>
    </row>
    <row r="55" spans="8:10">
      <c r="H55" s="85"/>
      <c r="I55" s="85"/>
      <c r="J55" s="85"/>
    </row>
    <row r="56" spans="8:10">
      <c r="H56" s="85"/>
      <c r="I56" s="85"/>
      <c r="J56" s="85"/>
    </row>
    <row r="57" spans="8:10">
      <c r="H57" s="85"/>
      <c r="I57" s="85"/>
      <c r="J57" s="85"/>
    </row>
    <row r="58" spans="8:10">
      <c r="H58" s="85"/>
      <c r="I58" s="85"/>
      <c r="J58" s="85"/>
    </row>
    <row r="59" spans="8:10">
      <c r="H59" s="85"/>
      <c r="I59" s="85"/>
      <c r="J59" s="85"/>
    </row>
    <row r="60" spans="8:10">
      <c r="H60" s="85"/>
      <c r="I60" s="85"/>
      <c r="J60" s="85"/>
    </row>
    <row r="61" spans="8:10">
      <c r="H61" s="85"/>
      <c r="I61" s="85"/>
      <c r="J61" s="85"/>
    </row>
    <row r="62" spans="8:10">
      <c r="H62" s="85"/>
      <c r="I62" s="85"/>
      <c r="J62" s="85"/>
    </row>
    <row r="63" spans="8:10">
      <c r="H63" s="85"/>
      <c r="I63" s="85"/>
      <c r="J63" s="85"/>
    </row>
    <row r="64" spans="8:10">
      <c r="H64" s="85"/>
      <c r="I64" s="85"/>
      <c r="J64" s="85"/>
    </row>
    <row r="65" spans="8:10">
      <c r="H65" s="85"/>
      <c r="I65" s="85"/>
      <c r="J65" s="85"/>
    </row>
    <row r="66" spans="8:10">
      <c r="H66" s="85"/>
      <c r="I66" s="85"/>
      <c r="J66" s="85"/>
    </row>
    <row r="67" spans="8:10">
      <c r="H67" s="85"/>
      <c r="I67" s="85"/>
      <c r="J67" s="85"/>
    </row>
    <row r="68" spans="8:10">
      <c r="H68" s="85"/>
      <c r="I68" s="85"/>
      <c r="J68" s="85"/>
    </row>
    <row r="69" spans="8:10">
      <c r="H69" s="85"/>
      <c r="I69" s="85"/>
      <c r="J69" s="85"/>
    </row>
    <row r="70" spans="8:10">
      <c r="H70" s="85"/>
      <c r="I70" s="85"/>
      <c r="J70" s="85"/>
    </row>
    <row r="71" spans="8:10">
      <c r="H71" s="85"/>
      <c r="I71" s="85"/>
      <c r="J71" s="85"/>
    </row>
    <row r="72" spans="8:10">
      <c r="H72" s="85"/>
      <c r="I72" s="85"/>
      <c r="J72" s="85"/>
    </row>
    <row r="73" spans="8:10">
      <c r="H73" s="85"/>
      <c r="I73" s="85"/>
      <c r="J73" s="85"/>
    </row>
    <row r="74" spans="8:10">
      <c r="H74" s="85"/>
      <c r="I74" s="85"/>
      <c r="J74" s="85"/>
    </row>
    <row r="75" spans="8:10">
      <c r="H75" s="85"/>
      <c r="I75" s="85"/>
      <c r="J75" s="85"/>
    </row>
    <row r="76" spans="8:10">
      <c r="H76" s="85"/>
      <c r="I76" s="85"/>
      <c r="J76" s="85"/>
    </row>
    <row r="77" spans="8:10">
      <c r="H77" s="85"/>
      <c r="I77" s="85"/>
      <c r="J77" s="85"/>
    </row>
    <row r="78" spans="8:10">
      <c r="H78" s="85"/>
      <c r="I78" s="85"/>
      <c r="J78" s="85"/>
    </row>
    <row r="79" spans="8:10">
      <c r="H79" s="85"/>
      <c r="I79" s="85"/>
      <c r="J79" s="85"/>
    </row>
    <row r="80" spans="8:10">
      <c r="H80" s="85"/>
      <c r="I80" s="85"/>
      <c r="J80" s="85"/>
    </row>
    <row r="81" spans="8:10">
      <c r="H81" s="85"/>
      <c r="I81" s="85"/>
      <c r="J81" s="85"/>
    </row>
    <row r="82" spans="8:10">
      <c r="H82" s="85"/>
      <c r="I82" s="85"/>
      <c r="J82" s="85"/>
    </row>
    <row r="83" spans="8:10">
      <c r="H83" s="85"/>
      <c r="I83" s="85"/>
      <c r="J83" s="85"/>
    </row>
    <row r="84" spans="8:10">
      <c r="H84" s="85"/>
      <c r="I84" s="85"/>
      <c r="J84" s="85"/>
    </row>
    <row r="85" spans="8:10">
      <c r="H85" s="85"/>
      <c r="I85" s="85"/>
      <c r="J85" s="85"/>
    </row>
    <row r="86" spans="8:10">
      <c r="H86" s="85"/>
      <c r="I86" s="85"/>
      <c r="J86" s="85"/>
    </row>
    <row r="87" spans="8:10">
      <c r="H87" s="85"/>
      <c r="I87" s="85"/>
      <c r="J87" s="85"/>
    </row>
    <row r="88" spans="8:10">
      <c r="H88" s="85"/>
      <c r="I88" s="85"/>
      <c r="J88" s="85"/>
    </row>
    <row r="89" spans="8:10">
      <c r="H89" s="85"/>
      <c r="I89" s="85"/>
      <c r="J89" s="85"/>
    </row>
    <row r="90" spans="8:10">
      <c r="H90" s="85"/>
      <c r="I90" s="85"/>
      <c r="J90" s="85"/>
    </row>
    <row r="91" spans="8:10">
      <c r="H91" s="85"/>
      <c r="I91" s="85"/>
      <c r="J91" s="85"/>
    </row>
    <row r="92" spans="8:10">
      <c r="H92" s="85"/>
      <c r="I92" s="85"/>
      <c r="J92" s="85"/>
    </row>
    <row r="93" spans="8:10">
      <c r="H93" s="85"/>
      <c r="I93" s="85"/>
      <c r="J93" s="85"/>
    </row>
    <row r="94" spans="8:10">
      <c r="H94" s="85"/>
      <c r="I94" s="85"/>
      <c r="J94" s="85"/>
    </row>
    <row r="95" spans="8:10">
      <c r="H95" s="85"/>
      <c r="I95" s="85"/>
      <c r="J95" s="85"/>
    </row>
    <row r="96" spans="8:10">
      <c r="H96" s="85"/>
      <c r="I96" s="85"/>
      <c r="J96" s="85"/>
    </row>
    <row r="97" spans="8:10">
      <c r="H97" s="85"/>
      <c r="I97" s="85"/>
      <c r="J97" s="85"/>
    </row>
    <row r="98" spans="8:10">
      <c r="H98" s="85"/>
      <c r="I98" s="85"/>
      <c r="J98" s="85"/>
    </row>
    <row r="99" spans="8:10">
      <c r="H99" s="85"/>
      <c r="I99" s="85"/>
      <c r="J99" s="85"/>
    </row>
    <row r="100" spans="8:10">
      <c r="H100" s="85"/>
      <c r="I100" s="85"/>
      <c r="J100" s="85"/>
    </row>
    <row r="101" spans="8:10">
      <c r="H101" s="85"/>
      <c r="I101" s="85"/>
      <c r="J101" s="85"/>
    </row>
    <row r="102" spans="8:10">
      <c r="H102" s="85"/>
      <c r="I102" s="85"/>
      <c r="J102" s="85"/>
    </row>
    <row r="103" spans="8:10">
      <c r="H103" s="85"/>
      <c r="I103" s="85"/>
      <c r="J103" s="85"/>
    </row>
    <row r="104" spans="8:10">
      <c r="H104" s="85"/>
      <c r="I104" s="85"/>
      <c r="J104" s="85"/>
    </row>
    <row r="105" spans="8:10">
      <c r="H105" s="85"/>
      <c r="I105" s="85"/>
      <c r="J105" s="85"/>
    </row>
    <row r="106" spans="8:10">
      <c r="H106" s="85"/>
      <c r="I106" s="85"/>
      <c r="J106" s="85"/>
    </row>
    <row r="107" spans="8:10">
      <c r="H107" s="85"/>
      <c r="I107" s="85"/>
      <c r="J107" s="85"/>
    </row>
    <row r="108" spans="8:10">
      <c r="H108" s="85"/>
      <c r="I108" s="85"/>
      <c r="J108" s="85"/>
    </row>
    <row r="109" spans="8:10">
      <c r="H109" s="85"/>
      <c r="I109" s="85"/>
      <c r="J109" s="85"/>
    </row>
    <row r="110" spans="8:10">
      <c r="H110" s="85"/>
      <c r="I110" s="85"/>
      <c r="J110" s="85"/>
    </row>
    <row r="111" spans="8:10">
      <c r="H111" s="85"/>
      <c r="I111" s="85"/>
      <c r="J111" s="85"/>
    </row>
    <row r="112" spans="8:10">
      <c r="H112" s="85"/>
      <c r="I112" s="85"/>
      <c r="J112" s="85"/>
    </row>
    <row r="113" spans="8:10">
      <c r="H113" s="85"/>
      <c r="I113" s="85"/>
      <c r="J113" s="85"/>
    </row>
    <row r="114" spans="8:10">
      <c r="H114" s="85"/>
      <c r="I114" s="85"/>
      <c r="J114" s="85"/>
    </row>
    <row r="115" spans="8:10">
      <c r="H115" s="85"/>
      <c r="I115" s="85"/>
      <c r="J115" s="85"/>
    </row>
    <row r="116" spans="8:10">
      <c r="H116" s="85"/>
      <c r="I116" s="85"/>
      <c r="J116" s="85"/>
    </row>
    <row r="117" spans="8:10">
      <c r="H117" s="85"/>
      <c r="I117" s="85"/>
      <c r="J117" s="85"/>
    </row>
    <row r="118" spans="8:10">
      <c r="H118" s="85"/>
      <c r="I118" s="85"/>
      <c r="J118" s="85"/>
    </row>
    <row r="119" spans="8:10">
      <c r="H119" s="85"/>
      <c r="I119" s="85"/>
      <c r="J119" s="85"/>
    </row>
    <row r="120" spans="8:10">
      <c r="H120" s="85"/>
      <c r="I120" s="85"/>
      <c r="J120" s="85"/>
    </row>
  </sheetData>
  <sheetProtection algorithmName="SHA-512" hashValue="EbGnRKe8g+yIgfLhcwb7GrD9MzYw3BTT0jHt+BE3ziU0zcDZa6epxS6vO9vcF0W9QanDHnzx4OjykFJgQu3ylQ==" saltValue="kpq9O3PQml95VBeJIkCzfw==" spinCount="100000" sheet="1" objects="1" scenarios="1" selectLockedCells="1" selectUnlockedCells="1"/>
  <mergeCells count="7">
    <mergeCell ref="A33:G34"/>
    <mergeCell ref="A35:G36"/>
    <mergeCell ref="A30:G30"/>
    <mergeCell ref="A8:A9"/>
    <mergeCell ref="A27:G28"/>
    <mergeCell ref="A29:G29"/>
    <mergeCell ref="A31:G32"/>
  </mergeCell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8"/>
  <sheetViews>
    <sheetView zoomScale="150" zoomScaleNormal="150" workbookViewId="0">
      <selection activeCell="C21" sqref="C21"/>
    </sheetView>
  </sheetViews>
  <sheetFormatPr baseColWidth="10" defaultColWidth="10.1640625" defaultRowHeight="11"/>
  <cols>
    <col min="1" max="1" width="9.83203125" style="169" customWidth="1"/>
    <col min="2" max="2" width="23.1640625" style="169" customWidth="1"/>
    <col min="3" max="3" width="28.6640625" style="284" customWidth="1"/>
    <col min="4" max="4" width="9.5" style="169" customWidth="1"/>
    <col min="5" max="5" width="6.6640625" style="169" customWidth="1"/>
    <col min="6" max="6" width="8.1640625" style="169" customWidth="1"/>
    <col min="7" max="7" width="10.1640625" style="170"/>
    <col min="8" max="26" width="5.6640625" style="169" customWidth="1"/>
    <col min="27" max="34" width="6.33203125" style="169" customWidth="1"/>
    <col min="35" max="42" width="5.1640625" style="169" customWidth="1"/>
    <col min="43" max="51" width="5.83203125" style="169" customWidth="1"/>
    <col min="52" max="58" width="6.6640625" style="169" customWidth="1"/>
    <col min="59" max="67" width="5.83203125" style="169" customWidth="1"/>
    <col min="68" max="16384" width="10.1640625" style="169"/>
  </cols>
  <sheetData>
    <row r="1" spans="1:67" ht="15" customHeight="1" thickTop="1">
      <c r="A1" s="372" t="s">
        <v>346</v>
      </c>
      <c r="B1" s="372"/>
      <c r="C1" s="372"/>
      <c r="D1" s="372"/>
      <c r="E1" s="372"/>
      <c r="F1" s="372"/>
      <c r="H1" s="382" t="s">
        <v>340</v>
      </c>
      <c r="I1" s="382"/>
      <c r="J1" s="382"/>
      <c r="K1" s="382"/>
      <c r="L1" s="382"/>
      <c r="M1" s="382"/>
      <c r="N1" s="382"/>
      <c r="O1" s="382"/>
      <c r="P1" s="382"/>
      <c r="Q1" s="382"/>
      <c r="R1" s="382"/>
      <c r="S1" s="382"/>
      <c r="AE1" s="353"/>
    </row>
    <row r="2" spans="1:67" ht="14.5" customHeight="1">
      <c r="A2" s="372"/>
      <c r="B2" s="372"/>
      <c r="C2" s="372"/>
      <c r="D2" s="372"/>
      <c r="E2" s="372"/>
      <c r="F2" s="372"/>
      <c r="H2" s="382"/>
      <c r="I2" s="382"/>
      <c r="J2" s="382"/>
      <c r="K2" s="382"/>
      <c r="L2" s="382"/>
      <c r="M2" s="382"/>
      <c r="N2" s="382"/>
      <c r="O2" s="382"/>
      <c r="P2" s="382"/>
      <c r="Q2" s="382"/>
      <c r="R2" s="382"/>
      <c r="S2" s="382"/>
      <c r="T2" s="379" t="s">
        <v>337</v>
      </c>
      <c r="U2" s="379"/>
      <c r="V2" s="379"/>
      <c r="W2" s="379"/>
      <c r="X2" s="379"/>
      <c r="Y2" s="379"/>
      <c r="Z2" s="379"/>
      <c r="AA2" s="379"/>
      <c r="AB2" s="379"/>
      <c r="AC2" s="379"/>
      <c r="AD2" s="379"/>
      <c r="AE2" s="379"/>
      <c r="AF2" s="379" t="s">
        <v>336</v>
      </c>
      <c r="AG2" s="379"/>
      <c r="AH2" s="379"/>
      <c r="AI2" s="379"/>
      <c r="AJ2" s="379"/>
      <c r="AK2" s="379"/>
      <c r="AL2" s="379"/>
      <c r="AM2" s="379"/>
      <c r="AN2" s="379"/>
      <c r="AO2" s="379"/>
      <c r="AP2" s="379"/>
      <c r="AQ2" s="379"/>
      <c r="AR2" s="379" t="s">
        <v>338</v>
      </c>
      <c r="AS2" s="379"/>
      <c r="AT2" s="379"/>
      <c r="AU2" s="379"/>
      <c r="AV2" s="379"/>
      <c r="AW2" s="379"/>
      <c r="AX2" s="379"/>
      <c r="AY2" s="379"/>
      <c r="AZ2" s="379"/>
      <c r="BA2" s="379"/>
      <c r="BB2" s="379"/>
      <c r="BC2" s="379"/>
      <c r="BD2" s="379" t="s">
        <v>339</v>
      </c>
      <c r="BE2" s="379"/>
      <c r="BF2" s="379"/>
      <c r="BG2" s="379"/>
      <c r="BH2" s="379"/>
      <c r="BI2" s="379"/>
      <c r="BJ2" s="379"/>
      <c r="BK2" s="379"/>
      <c r="BL2" s="379"/>
      <c r="BM2" s="379"/>
      <c r="BN2" s="379"/>
      <c r="BO2" s="379"/>
    </row>
    <row r="3" spans="1:67" ht="12" thickBot="1">
      <c r="A3" s="372"/>
      <c r="B3" s="372"/>
      <c r="C3" s="372"/>
      <c r="D3" s="372"/>
      <c r="E3" s="372"/>
      <c r="F3" s="372"/>
      <c r="H3" s="262" t="s">
        <v>21</v>
      </c>
      <c r="I3" s="262" t="s">
        <v>21</v>
      </c>
      <c r="J3" s="262" t="s">
        <v>21</v>
      </c>
      <c r="K3" s="262" t="s">
        <v>233</v>
      </c>
      <c r="L3" s="262" t="s">
        <v>232</v>
      </c>
      <c r="M3" s="262" t="s">
        <v>152</v>
      </c>
      <c r="N3" s="262"/>
      <c r="O3" s="262"/>
      <c r="P3" s="262"/>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1"/>
      <c r="BF3" s="381"/>
      <c r="BG3" s="381"/>
      <c r="BH3" s="381"/>
      <c r="BI3" s="381"/>
      <c r="BJ3" s="381"/>
      <c r="BK3" s="381"/>
      <c r="BL3" s="381"/>
      <c r="BM3" s="381"/>
      <c r="BN3" s="381"/>
      <c r="BO3" s="381"/>
    </row>
    <row r="4" spans="1:67" ht="13.75" customHeight="1" thickBot="1">
      <c r="A4" s="261" t="s">
        <v>21</v>
      </c>
      <c r="B4" s="260" t="s">
        <v>231</v>
      </c>
      <c r="C4" s="278" t="s">
        <v>255</v>
      </c>
      <c r="D4" s="259" t="s">
        <v>230</v>
      </c>
      <c r="E4" s="259" t="s">
        <v>229</v>
      </c>
      <c r="F4" s="258" t="s">
        <v>228</v>
      </c>
      <c r="G4" s="257" t="s">
        <v>227</v>
      </c>
      <c r="H4" s="347">
        <f>I4-30</f>
        <v>43163</v>
      </c>
      <c r="I4" s="347">
        <f t="shared" ref="I4:L4" si="0">J4-30</f>
        <v>43193</v>
      </c>
      <c r="J4" s="347">
        <f t="shared" si="0"/>
        <v>43223</v>
      </c>
      <c r="K4" s="347">
        <f t="shared" si="0"/>
        <v>43253</v>
      </c>
      <c r="L4" s="347">
        <f t="shared" si="0"/>
        <v>43283</v>
      </c>
      <c r="M4" s="256">
        <v>43313</v>
      </c>
      <c r="N4" s="347">
        <f>M4+31</f>
        <v>43344</v>
      </c>
      <c r="O4" s="347">
        <f t="shared" ref="O4:BF4" si="1">N4+31</f>
        <v>43375</v>
      </c>
      <c r="P4" s="347">
        <f t="shared" si="1"/>
        <v>43406</v>
      </c>
      <c r="Q4" s="348">
        <f t="shared" si="1"/>
        <v>43437</v>
      </c>
      <c r="R4" s="348">
        <f t="shared" si="1"/>
        <v>43468</v>
      </c>
      <c r="S4" s="350">
        <f t="shared" si="1"/>
        <v>43499</v>
      </c>
      <c r="T4" s="349">
        <f t="shared" si="1"/>
        <v>43530</v>
      </c>
      <c r="U4" s="338">
        <f t="shared" si="1"/>
        <v>43561</v>
      </c>
      <c r="V4" s="338">
        <f t="shared" si="1"/>
        <v>43592</v>
      </c>
      <c r="W4" s="338">
        <f t="shared" si="1"/>
        <v>43623</v>
      </c>
      <c r="X4" s="338">
        <f t="shared" si="1"/>
        <v>43654</v>
      </c>
      <c r="Y4" s="338">
        <f t="shared" si="1"/>
        <v>43685</v>
      </c>
      <c r="Z4" s="338">
        <f t="shared" si="1"/>
        <v>43716</v>
      </c>
      <c r="AA4" s="338">
        <f t="shared" si="1"/>
        <v>43747</v>
      </c>
      <c r="AB4" s="338">
        <f t="shared" si="1"/>
        <v>43778</v>
      </c>
      <c r="AC4" s="338">
        <f t="shared" si="1"/>
        <v>43809</v>
      </c>
      <c r="AD4" s="338">
        <f t="shared" si="1"/>
        <v>43840</v>
      </c>
      <c r="AE4" s="338">
        <f t="shared" si="1"/>
        <v>43871</v>
      </c>
      <c r="AF4" s="348">
        <f t="shared" si="1"/>
        <v>43902</v>
      </c>
      <c r="AG4" s="348">
        <f t="shared" si="1"/>
        <v>43933</v>
      </c>
      <c r="AH4" s="348">
        <f t="shared" si="1"/>
        <v>43964</v>
      </c>
      <c r="AI4" s="348">
        <f t="shared" si="1"/>
        <v>43995</v>
      </c>
      <c r="AJ4" s="348">
        <f t="shared" si="1"/>
        <v>44026</v>
      </c>
      <c r="AK4" s="348">
        <f t="shared" si="1"/>
        <v>44057</v>
      </c>
      <c r="AL4" s="348">
        <f t="shared" si="1"/>
        <v>44088</v>
      </c>
      <c r="AM4" s="348">
        <f t="shared" si="1"/>
        <v>44119</v>
      </c>
      <c r="AN4" s="348">
        <f t="shared" si="1"/>
        <v>44150</v>
      </c>
      <c r="AO4" s="348">
        <f t="shared" si="1"/>
        <v>44181</v>
      </c>
      <c r="AP4" s="348">
        <f t="shared" si="1"/>
        <v>44212</v>
      </c>
      <c r="AQ4" s="348">
        <f t="shared" si="1"/>
        <v>44243</v>
      </c>
      <c r="AR4" s="338">
        <f t="shared" si="1"/>
        <v>44274</v>
      </c>
      <c r="AS4" s="338">
        <f t="shared" si="1"/>
        <v>44305</v>
      </c>
      <c r="AT4" s="338">
        <f t="shared" si="1"/>
        <v>44336</v>
      </c>
      <c r="AU4" s="338">
        <f t="shared" si="1"/>
        <v>44367</v>
      </c>
      <c r="AV4" s="338">
        <f t="shared" si="1"/>
        <v>44398</v>
      </c>
      <c r="AW4" s="338">
        <f t="shared" si="1"/>
        <v>44429</v>
      </c>
      <c r="AX4" s="338">
        <f t="shared" si="1"/>
        <v>44460</v>
      </c>
      <c r="AY4" s="338">
        <f t="shared" si="1"/>
        <v>44491</v>
      </c>
      <c r="AZ4" s="338">
        <f t="shared" si="1"/>
        <v>44522</v>
      </c>
      <c r="BA4" s="338">
        <f t="shared" si="1"/>
        <v>44553</v>
      </c>
      <c r="BB4" s="338">
        <f t="shared" si="1"/>
        <v>44584</v>
      </c>
      <c r="BC4" s="338">
        <f t="shared" si="1"/>
        <v>44615</v>
      </c>
      <c r="BD4" s="354">
        <f t="shared" si="1"/>
        <v>44646</v>
      </c>
      <c r="BE4" s="356">
        <f t="shared" si="1"/>
        <v>44677</v>
      </c>
      <c r="BF4" s="356">
        <f t="shared" si="1"/>
        <v>44708</v>
      </c>
      <c r="BG4" s="356">
        <f t="shared" ref="BG4" si="2">BF4+31</f>
        <v>44739</v>
      </c>
      <c r="BH4" s="356">
        <f t="shared" ref="BH4" si="3">BG4+31</f>
        <v>44770</v>
      </c>
      <c r="BI4" s="356">
        <f t="shared" ref="BI4" si="4">BH4+31</f>
        <v>44801</v>
      </c>
      <c r="BJ4" s="356">
        <f t="shared" ref="BJ4" si="5">BI4+31</f>
        <v>44832</v>
      </c>
      <c r="BK4" s="356">
        <f t="shared" ref="BK4" si="6">BJ4+31</f>
        <v>44863</v>
      </c>
      <c r="BL4" s="356">
        <f t="shared" ref="BL4" si="7">BK4+31</f>
        <v>44894</v>
      </c>
      <c r="BM4" s="356">
        <f t="shared" ref="BM4" si="8">BL4+31</f>
        <v>44925</v>
      </c>
      <c r="BN4" s="356">
        <f t="shared" ref="BN4" si="9">BM4+31</f>
        <v>44956</v>
      </c>
      <c r="BO4" s="356">
        <v>44958</v>
      </c>
    </row>
    <row r="5" spans="1:67" ht="13.75" customHeight="1">
      <c r="A5" s="255" t="s">
        <v>226</v>
      </c>
      <c r="B5" s="177" t="s">
        <v>225</v>
      </c>
      <c r="C5" s="278"/>
      <c r="D5" s="375" t="s">
        <v>353</v>
      </c>
      <c r="E5" s="375"/>
      <c r="F5" s="375"/>
      <c r="G5" s="254">
        <v>30000</v>
      </c>
      <c r="H5" s="253">
        <v>0</v>
      </c>
      <c r="I5" s="234">
        <v>0.5</v>
      </c>
      <c r="J5" s="234">
        <v>0.5</v>
      </c>
      <c r="K5" s="228">
        <v>0</v>
      </c>
      <c r="L5" s="228"/>
      <c r="M5" s="233"/>
      <c r="N5" s="233"/>
      <c r="O5" s="233"/>
      <c r="P5" s="335"/>
      <c r="Q5" s="177"/>
      <c r="R5" s="177"/>
      <c r="S5" s="351"/>
      <c r="T5" s="315"/>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352"/>
      <c r="BE5" s="177"/>
      <c r="BF5" s="177"/>
      <c r="BG5" s="177"/>
      <c r="BH5" s="177"/>
      <c r="BI5" s="177"/>
      <c r="BJ5" s="177"/>
      <c r="BK5" s="177"/>
      <c r="BL5" s="177"/>
      <c r="BM5" s="177"/>
      <c r="BN5" s="177"/>
      <c r="BO5" s="177"/>
    </row>
    <row r="6" spans="1:67" ht="13.75" customHeight="1">
      <c r="A6" s="239" t="s">
        <v>21</v>
      </c>
      <c r="B6" s="177" t="s">
        <v>254</v>
      </c>
      <c r="C6" s="278" t="s">
        <v>347</v>
      </c>
      <c r="D6" s="376"/>
      <c r="E6" s="376"/>
      <c r="F6" s="376"/>
      <c r="G6" s="241">
        <v>40000</v>
      </c>
      <c r="H6" s="229">
        <v>0.5</v>
      </c>
      <c r="I6" s="247">
        <v>0.5</v>
      </c>
      <c r="J6" s="228"/>
      <c r="K6" s="228"/>
      <c r="L6" s="228">
        <v>0</v>
      </c>
      <c r="M6" s="233"/>
      <c r="N6" s="233"/>
      <c r="O6" s="233"/>
      <c r="P6" s="335"/>
      <c r="Q6" s="177"/>
      <c r="R6" s="177"/>
      <c r="S6" s="351"/>
      <c r="T6" s="315"/>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352"/>
      <c r="BE6" s="177"/>
      <c r="BF6" s="177"/>
      <c r="BG6" s="177"/>
      <c r="BH6" s="177"/>
      <c r="BI6" s="177"/>
      <c r="BJ6" s="177"/>
      <c r="BK6" s="177"/>
      <c r="BL6" s="177"/>
      <c r="BM6" s="177"/>
      <c r="BN6" s="177"/>
      <c r="BO6" s="177"/>
    </row>
    <row r="7" spans="1:67" ht="13.75" customHeight="1">
      <c r="A7" s="239"/>
      <c r="B7" s="177" t="s">
        <v>224</v>
      </c>
      <c r="C7" s="278"/>
      <c r="D7" s="376"/>
      <c r="E7" s="376"/>
      <c r="F7" s="376"/>
      <c r="G7" s="248">
        <v>15000</v>
      </c>
      <c r="H7" s="216">
        <v>0</v>
      </c>
      <c r="I7" s="247">
        <v>0.5</v>
      </c>
      <c r="J7" s="234">
        <v>0.5</v>
      </c>
      <c r="K7" s="228"/>
      <c r="L7" s="228"/>
      <c r="M7" s="233"/>
      <c r="N7" s="233"/>
      <c r="O7" s="233"/>
      <c r="P7" s="335"/>
      <c r="Q7" s="177"/>
      <c r="R7" s="177"/>
      <c r="S7" s="351"/>
      <c r="T7" s="315"/>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352"/>
      <c r="BE7" s="177"/>
      <c r="BF7" s="177"/>
      <c r="BG7" s="177"/>
      <c r="BH7" s="177"/>
      <c r="BI7" s="177"/>
      <c r="BJ7" s="177"/>
      <c r="BK7" s="177"/>
      <c r="BL7" s="177"/>
      <c r="BM7" s="177"/>
      <c r="BN7" s="177"/>
      <c r="BO7" s="177"/>
    </row>
    <row r="8" spans="1:67" ht="13.75" customHeight="1">
      <c r="A8" s="239"/>
      <c r="B8" s="177" t="s">
        <v>223</v>
      </c>
      <c r="C8" s="278" t="s">
        <v>277</v>
      </c>
      <c r="D8" s="376"/>
      <c r="E8" s="376"/>
      <c r="F8" s="376"/>
      <c r="G8" s="248">
        <v>15000</v>
      </c>
      <c r="H8" s="216">
        <v>0</v>
      </c>
      <c r="I8" s="244"/>
      <c r="J8" s="228"/>
      <c r="K8" s="234">
        <v>1</v>
      </c>
      <c r="L8" s="228"/>
      <c r="M8" s="233"/>
      <c r="N8" s="233"/>
      <c r="O8" s="233"/>
      <c r="P8" s="335"/>
      <c r="Q8" s="177"/>
      <c r="R8" s="177"/>
      <c r="S8" s="351"/>
      <c r="T8" s="315"/>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352"/>
      <c r="BE8" s="177"/>
      <c r="BF8" s="177"/>
      <c r="BG8" s="177"/>
      <c r="BH8" s="177"/>
      <c r="BI8" s="177"/>
      <c r="BJ8" s="177"/>
      <c r="BK8" s="177"/>
      <c r="BL8" s="177"/>
      <c r="BM8" s="177"/>
      <c r="BN8" s="177"/>
      <c r="BO8" s="177"/>
    </row>
    <row r="9" spans="1:67" ht="13.75" customHeight="1">
      <c r="A9" s="239" t="s">
        <v>222</v>
      </c>
      <c r="B9" s="177" t="s">
        <v>221</v>
      </c>
      <c r="C9" s="278" t="s">
        <v>256</v>
      </c>
      <c r="D9" s="376"/>
      <c r="E9" s="376"/>
      <c r="F9" s="376"/>
      <c r="G9" s="248">
        <v>10000</v>
      </c>
      <c r="H9" s="216">
        <v>0</v>
      </c>
      <c r="I9" s="244"/>
      <c r="J9" s="228"/>
      <c r="K9" s="234">
        <v>1</v>
      </c>
      <c r="L9" s="228"/>
      <c r="M9" s="233"/>
      <c r="N9" s="233"/>
      <c r="O9" s="233"/>
      <c r="P9" s="335"/>
      <c r="Q9" s="177"/>
      <c r="R9" s="177"/>
      <c r="S9" s="351"/>
      <c r="T9" s="315"/>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352"/>
      <c r="BE9" s="177"/>
      <c r="BF9" s="177"/>
      <c r="BG9" s="177"/>
      <c r="BH9" s="177"/>
      <c r="BI9" s="177"/>
      <c r="BJ9" s="177"/>
      <c r="BK9" s="177"/>
      <c r="BL9" s="177"/>
      <c r="BM9" s="177"/>
      <c r="BN9" s="177"/>
      <c r="BO9" s="177"/>
    </row>
    <row r="10" spans="1:67" ht="13.75" customHeight="1">
      <c r="A10" s="239" t="s">
        <v>21</v>
      </c>
      <c r="B10" s="177" t="s">
        <v>220</v>
      </c>
      <c r="C10" s="278" t="s">
        <v>297</v>
      </c>
      <c r="D10" s="376"/>
      <c r="E10" s="376"/>
      <c r="F10" s="376"/>
      <c r="G10" s="248">
        <v>10000</v>
      </c>
      <c r="H10" s="216">
        <v>0</v>
      </c>
      <c r="I10" s="244"/>
      <c r="J10" s="228"/>
      <c r="K10" s="234">
        <v>1</v>
      </c>
      <c r="L10" s="228"/>
      <c r="M10" s="233"/>
      <c r="N10" s="233"/>
      <c r="O10" s="233"/>
      <c r="P10" s="335"/>
      <c r="Q10" s="177"/>
      <c r="R10" s="177"/>
      <c r="S10" s="351"/>
      <c r="T10" s="315"/>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352"/>
      <c r="BE10" s="177"/>
      <c r="BF10" s="177"/>
      <c r="BG10" s="177"/>
      <c r="BH10" s="177"/>
      <c r="BI10" s="177"/>
      <c r="BJ10" s="177"/>
      <c r="BK10" s="177"/>
      <c r="BL10" s="177"/>
      <c r="BM10" s="177"/>
      <c r="BN10" s="177"/>
      <c r="BO10" s="177"/>
    </row>
    <row r="11" spans="1:67" ht="13.75" customHeight="1">
      <c r="A11" s="239"/>
      <c r="B11" s="177" t="s">
        <v>219</v>
      </c>
      <c r="C11" s="278" t="s">
        <v>298</v>
      </c>
      <c r="D11" s="376"/>
      <c r="E11" s="376"/>
      <c r="F11" s="376"/>
      <c r="G11" s="248">
        <v>10000</v>
      </c>
      <c r="H11" s="216">
        <v>0</v>
      </c>
      <c r="I11" s="244"/>
      <c r="J11" s="228"/>
      <c r="K11" s="234">
        <v>1</v>
      </c>
      <c r="L11" s="228"/>
      <c r="M11" s="233"/>
      <c r="N11" s="233"/>
      <c r="O11" s="233"/>
      <c r="P11" s="335"/>
      <c r="Q11" s="177"/>
      <c r="R11" s="177"/>
      <c r="S11" s="351"/>
      <c r="T11" s="315"/>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352"/>
      <c r="BE11" s="177"/>
      <c r="BF11" s="177"/>
      <c r="BG11" s="177"/>
      <c r="BH11" s="177"/>
      <c r="BI11" s="177"/>
      <c r="BJ11" s="177"/>
      <c r="BK11" s="177"/>
      <c r="BL11" s="177"/>
      <c r="BM11" s="177"/>
      <c r="BN11" s="177"/>
      <c r="BO11" s="177"/>
    </row>
    <row r="12" spans="1:67" ht="13.75" customHeight="1">
      <c r="A12" s="239"/>
      <c r="B12" s="177" t="s">
        <v>218</v>
      </c>
      <c r="C12" s="278" t="s">
        <v>341</v>
      </c>
      <c r="D12" s="376"/>
      <c r="E12" s="376"/>
      <c r="F12" s="376"/>
      <c r="G12" s="299">
        <v>18000</v>
      </c>
      <c r="H12" s="252">
        <v>0</v>
      </c>
      <c r="I12" s="240"/>
      <c r="J12" s="234">
        <v>0.5</v>
      </c>
      <c r="K12" s="234">
        <v>0.4</v>
      </c>
      <c r="L12" s="234">
        <v>0.1</v>
      </c>
      <c r="M12" s="233"/>
      <c r="N12" s="233"/>
      <c r="O12" s="233"/>
      <c r="P12" s="335"/>
      <c r="Q12" s="177"/>
      <c r="R12" s="177"/>
      <c r="S12" s="351"/>
      <c r="T12" s="315"/>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352"/>
      <c r="BE12" s="177"/>
      <c r="BF12" s="177"/>
      <c r="BG12" s="177"/>
      <c r="BH12" s="177"/>
      <c r="BI12" s="177"/>
      <c r="BJ12" s="177"/>
      <c r="BK12" s="177"/>
      <c r="BL12" s="177"/>
      <c r="BM12" s="177"/>
      <c r="BN12" s="177"/>
      <c r="BO12" s="177"/>
    </row>
    <row r="13" spans="1:67" ht="13.75" customHeight="1">
      <c r="A13" s="239"/>
      <c r="B13" s="177" t="s">
        <v>217</v>
      </c>
      <c r="C13" s="278" t="s">
        <v>21</v>
      </c>
      <c r="D13" s="376"/>
      <c r="E13" s="376"/>
      <c r="F13" s="376"/>
      <c r="G13" s="248">
        <v>0</v>
      </c>
      <c r="H13" s="216">
        <v>0</v>
      </c>
      <c r="I13" s="244"/>
      <c r="J13" s="228"/>
      <c r="K13" s="234">
        <v>1</v>
      </c>
      <c r="L13" s="228"/>
      <c r="M13" s="233"/>
      <c r="N13" s="233"/>
      <c r="O13" s="233"/>
      <c r="P13" s="335"/>
      <c r="Q13" s="177"/>
      <c r="R13" s="177"/>
      <c r="S13" s="351"/>
      <c r="T13" s="315"/>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352"/>
      <c r="BE13" s="177"/>
      <c r="BF13" s="177"/>
      <c r="BG13" s="177"/>
      <c r="BH13" s="177"/>
      <c r="BI13" s="177"/>
      <c r="BJ13" s="177"/>
      <c r="BK13" s="177"/>
      <c r="BL13" s="177"/>
      <c r="BM13" s="177"/>
      <c r="BN13" s="177"/>
      <c r="BO13" s="177"/>
    </row>
    <row r="14" spans="1:67" ht="13.75" customHeight="1">
      <c r="A14" s="239"/>
      <c r="B14" s="177" t="s">
        <v>261</v>
      </c>
      <c r="C14" s="278" t="s">
        <v>262</v>
      </c>
      <c r="D14" s="376"/>
      <c r="E14" s="376"/>
      <c r="F14" s="376"/>
      <c r="G14" s="248">
        <v>50000</v>
      </c>
      <c r="H14" s="216">
        <v>0</v>
      </c>
      <c r="I14" s="244"/>
      <c r="J14" s="228"/>
      <c r="K14" s="228"/>
      <c r="L14" s="251">
        <v>0</v>
      </c>
      <c r="M14" s="234">
        <v>1</v>
      </c>
      <c r="N14" s="233"/>
      <c r="O14" s="233"/>
      <c r="P14" s="335"/>
      <c r="Q14" s="177"/>
      <c r="R14" s="177"/>
      <c r="S14" s="351"/>
      <c r="T14" s="315"/>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352"/>
      <c r="BE14" s="177"/>
      <c r="BF14" s="177"/>
      <c r="BG14" s="177"/>
      <c r="BH14" s="177"/>
      <c r="BI14" s="177"/>
      <c r="BJ14" s="177"/>
      <c r="BK14" s="177"/>
      <c r="BL14" s="177"/>
      <c r="BM14" s="177"/>
      <c r="BN14" s="177"/>
      <c r="BO14" s="177"/>
    </row>
    <row r="15" spans="1:67" ht="13.75" customHeight="1">
      <c r="A15" s="239"/>
      <c r="B15" s="177" t="s">
        <v>216</v>
      </c>
      <c r="C15" s="278" t="s">
        <v>21</v>
      </c>
      <c r="D15" s="376"/>
      <c r="E15" s="376"/>
      <c r="F15" s="376"/>
      <c r="G15" s="248">
        <v>8000</v>
      </c>
      <c r="H15" s="216">
        <v>0</v>
      </c>
      <c r="I15" s="244"/>
      <c r="J15" s="228"/>
      <c r="K15" s="228"/>
      <c r="L15" s="234">
        <v>1</v>
      </c>
      <c r="M15" s="233"/>
      <c r="N15" s="233"/>
      <c r="O15" s="233"/>
      <c r="P15" s="335"/>
      <c r="Q15" s="177"/>
      <c r="R15" s="177"/>
      <c r="S15" s="351"/>
      <c r="T15" s="315"/>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352"/>
      <c r="BE15" s="177"/>
      <c r="BF15" s="177"/>
      <c r="BG15" s="177"/>
      <c r="BH15" s="177"/>
      <c r="BI15" s="177"/>
      <c r="BJ15" s="177"/>
      <c r="BK15" s="177"/>
      <c r="BL15" s="177"/>
      <c r="BM15" s="177"/>
      <c r="BN15" s="177"/>
      <c r="BO15" s="177"/>
    </row>
    <row r="16" spans="1:67" ht="13.75" customHeight="1">
      <c r="A16" s="239"/>
      <c r="B16" s="177" t="s">
        <v>263</v>
      </c>
      <c r="C16" s="278" t="s">
        <v>21</v>
      </c>
      <c r="D16" s="376"/>
      <c r="E16" s="376"/>
      <c r="F16" s="376"/>
      <c r="G16" s="248">
        <v>20000</v>
      </c>
      <c r="H16" s="216">
        <v>0</v>
      </c>
      <c r="I16" s="244"/>
      <c r="J16" s="228"/>
      <c r="K16" s="228"/>
      <c r="L16" s="228"/>
      <c r="M16" s="234">
        <v>1</v>
      </c>
      <c r="N16" s="233"/>
      <c r="O16" s="233"/>
      <c r="P16" s="335"/>
      <c r="Q16" s="177"/>
      <c r="R16" s="177"/>
      <c r="S16" s="351"/>
      <c r="T16" s="315"/>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352"/>
      <c r="BE16" s="177"/>
      <c r="BF16" s="177"/>
      <c r="BG16" s="177"/>
      <c r="BH16" s="177"/>
      <c r="BI16" s="177"/>
      <c r="BJ16" s="177"/>
      <c r="BK16" s="177"/>
      <c r="BL16" s="177"/>
      <c r="BM16" s="177"/>
      <c r="BN16" s="177"/>
      <c r="BO16" s="177"/>
    </row>
    <row r="17" spans="1:67" ht="13.75" customHeight="1">
      <c r="A17" s="239"/>
      <c r="B17" s="177" t="s">
        <v>215</v>
      </c>
      <c r="C17" s="278"/>
      <c r="D17" s="377"/>
      <c r="E17" s="377"/>
      <c r="F17" s="377"/>
      <c r="G17" s="248">
        <v>5000</v>
      </c>
      <c r="H17" s="216">
        <v>0</v>
      </c>
      <c r="I17" s="244"/>
      <c r="J17" s="228"/>
      <c r="K17" s="228"/>
      <c r="L17" s="234">
        <v>1</v>
      </c>
      <c r="M17" s="233"/>
      <c r="N17" s="233"/>
      <c r="O17" s="233"/>
      <c r="P17" s="335"/>
      <c r="Q17" s="177"/>
      <c r="R17" s="177"/>
      <c r="S17" s="351"/>
      <c r="T17" s="315"/>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352"/>
      <c r="BE17" s="177"/>
      <c r="BF17" s="177"/>
      <c r="BG17" s="177"/>
      <c r="BH17" s="177"/>
      <c r="BI17" s="177"/>
      <c r="BJ17" s="177"/>
      <c r="BK17" s="177"/>
      <c r="BL17" s="177"/>
      <c r="BM17" s="177"/>
      <c r="BN17" s="177"/>
      <c r="BO17" s="177"/>
    </row>
    <row r="18" spans="1:67" ht="15.5" customHeight="1">
      <c r="A18" s="250" t="s">
        <v>214</v>
      </c>
      <c r="B18" s="246" t="s">
        <v>213</v>
      </c>
      <c r="C18" s="279" t="s">
        <v>299</v>
      </c>
      <c r="D18" s="243"/>
      <c r="E18" s="242"/>
      <c r="F18" s="237"/>
      <c r="G18" s="248">
        <v>6000</v>
      </c>
      <c r="H18" s="216">
        <v>0</v>
      </c>
      <c r="I18" s="244"/>
      <c r="J18" s="228"/>
      <c r="K18" s="228"/>
      <c r="L18" s="228"/>
      <c r="M18" s="234">
        <v>1</v>
      </c>
      <c r="N18" s="233"/>
      <c r="O18" s="233"/>
      <c r="P18" s="335"/>
      <c r="Q18" s="177"/>
      <c r="R18" s="177"/>
      <c r="S18" s="351"/>
      <c r="T18" s="315"/>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352"/>
      <c r="BE18" s="177"/>
      <c r="BF18" s="177"/>
      <c r="BG18" s="177"/>
      <c r="BH18" s="177"/>
      <c r="BI18" s="177"/>
      <c r="BJ18" s="177"/>
      <c r="BK18" s="177"/>
      <c r="BL18" s="177"/>
      <c r="BM18" s="177"/>
      <c r="BN18" s="177"/>
      <c r="BO18" s="177"/>
    </row>
    <row r="19" spans="1:67" ht="13.75" customHeight="1">
      <c r="A19" s="249" t="s">
        <v>212</v>
      </c>
      <c r="B19" s="246" t="s">
        <v>211</v>
      </c>
      <c r="C19" s="279" t="s">
        <v>264</v>
      </c>
      <c r="D19" s="243"/>
      <c r="E19" s="242"/>
      <c r="F19" s="237"/>
      <c r="G19" s="248">
        <v>6000</v>
      </c>
      <c r="H19" s="216">
        <v>0</v>
      </c>
      <c r="I19" s="244"/>
      <c r="J19" s="228"/>
      <c r="K19" s="228"/>
      <c r="L19" s="234">
        <v>1</v>
      </c>
      <c r="M19" s="233"/>
      <c r="N19" s="233"/>
      <c r="O19" s="233"/>
      <c r="P19" s="335"/>
      <c r="Q19" s="177"/>
      <c r="R19" s="177"/>
      <c r="S19" s="351"/>
      <c r="T19" s="315"/>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352"/>
      <c r="BE19" s="177"/>
      <c r="BF19" s="177"/>
      <c r="BG19" s="177"/>
      <c r="BH19" s="177"/>
      <c r="BI19" s="177"/>
      <c r="BJ19" s="177"/>
      <c r="BK19" s="177"/>
      <c r="BL19" s="177"/>
      <c r="BM19" s="177"/>
      <c r="BN19" s="177"/>
      <c r="BO19" s="177"/>
    </row>
    <row r="20" spans="1:67" ht="13.75" customHeight="1">
      <c r="A20" s="239" t="s">
        <v>21</v>
      </c>
      <c r="B20" s="246" t="s">
        <v>210</v>
      </c>
      <c r="C20" s="279"/>
      <c r="D20" s="243"/>
      <c r="E20" s="242"/>
      <c r="F20" s="237"/>
      <c r="G20" s="245">
        <v>1000</v>
      </c>
      <c r="H20" s="229">
        <v>1</v>
      </c>
      <c r="I20" s="244"/>
      <c r="J20" s="228"/>
      <c r="K20" s="228">
        <v>0</v>
      </c>
      <c r="L20" s="228"/>
      <c r="M20" s="233"/>
      <c r="N20" s="233"/>
      <c r="O20" s="233"/>
      <c r="P20" s="335"/>
      <c r="Q20" s="177"/>
      <c r="R20" s="177"/>
      <c r="S20" s="351"/>
      <c r="T20" s="315"/>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352"/>
      <c r="BE20" s="177"/>
      <c r="BF20" s="177"/>
      <c r="BG20" s="177"/>
      <c r="BH20" s="177"/>
      <c r="BI20" s="177"/>
      <c r="BJ20" s="177"/>
      <c r="BK20" s="177"/>
      <c r="BL20" s="177"/>
      <c r="BM20" s="177"/>
      <c r="BN20" s="177"/>
      <c r="BO20" s="177"/>
    </row>
    <row r="21" spans="1:67" ht="13.75" customHeight="1">
      <c r="A21" s="239"/>
      <c r="B21" s="246" t="s">
        <v>209</v>
      </c>
      <c r="C21" s="279"/>
      <c r="D21" s="243"/>
      <c r="E21" s="242"/>
      <c r="F21" s="237"/>
      <c r="G21" s="245">
        <v>2000</v>
      </c>
      <c r="H21" s="216">
        <v>0</v>
      </c>
      <c r="I21" s="247">
        <v>1</v>
      </c>
      <c r="J21" s="228"/>
      <c r="K21" s="228">
        <v>0</v>
      </c>
      <c r="L21" s="228"/>
      <c r="M21" s="233"/>
      <c r="N21" s="233"/>
      <c r="O21" s="233"/>
      <c r="P21" s="335"/>
      <c r="Q21" s="177"/>
      <c r="R21" s="177"/>
      <c r="S21" s="351"/>
      <c r="T21" s="315"/>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352"/>
      <c r="BE21" s="177"/>
      <c r="BF21" s="177"/>
      <c r="BG21" s="177"/>
      <c r="BH21" s="177"/>
      <c r="BI21" s="177"/>
      <c r="BJ21" s="177"/>
      <c r="BK21" s="177"/>
      <c r="BL21" s="177"/>
      <c r="BM21" s="177"/>
      <c r="BN21" s="177"/>
      <c r="BO21" s="177"/>
    </row>
    <row r="22" spans="1:67" ht="13.75" customHeight="1">
      <c r="A22" s="239"/>
      <c r="B22" s="246" t="s">
        <v>208</v>
      </c>
      <c r="C22" s="279"/>
      <c r="D22" s="243"/>
      <c r="E22" s="242"/>
      <c r="F22" s="237"/>
      <c r="G22" s="245">
        <v>3000</v>
      </c>
      <c r="H22" s="216">
        <v>0</v>
      </c>
      <c r="I22" s="247">
        <v>1</v>
      </c>
      <c r="J22" s="228"/>
      <c r="K22" s="228"/>
      <c r="L22" s="228"/>
      <c r="M22" s="233"/>
      <c r="N22" s="233"/>
      <c r="O22" s="233"/>
      <c r="P22" s="335"/>
      <c r="Q22" s="177"/>
      <c r="R22" s="177"/>
      <c r="S22" s="351"/>
      <c r="T22" s="315"/>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352"/>
      <c r="BE22" s="177"/>
      <c r="BF22" s="177"/>
      <c r="BG22" s="177"/>
      <c r="BH22" s="177"/>
      <c r="BI22" s="177"/>
      <c r="BJ22" s="177"/>
      <c r="BK22" s="177"/>
      <c r="BL22" s="177"/>
      <c r="BM22" s="177"/>
      <c r="BN22" s="177"/>
      <c r="BO22" s="177"/>
    </row>
    <row r="23" spans="1:67" ht="13.75" customHeight="1">
      <c r="A23" s="239"/>
      <c r="B23" s="246" t="s">
        <v>207</v>
      </c>
      <c r="C23" s="279"/>
      <c r="D23" s="243"/>
      <c r="E23" s="242"/>
      <c r="F23" s="237"/>
      <c r="G23" s="245">
        <v>4000</v>
      </c>
      <c r="H23" s="229">
        <v>0.5</v>
      </c>
      <c r="I23" s="244"/>
      <c r="J23" s="228"/>
      <c r="K23" s="234">
        <v>0.5</v>
      </c>
      <c r="L23" s="228"/>
      <c r="M23" s="233"/>
      <c r="N23" s="233"/>
      <c r="O23" s="233"/>
      <c r="P23" s="335"/>
      <c r="Q23" s="177"/>
      <c r="R23" s="177"/>
      <c r="S23" s="351"/>
      <c r="T23" s="315"/>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352"/>
      <c r="BE23" s="177"/>
      <c r="BF23" s="177"/>
      <c r="BG23" s="177"/>
      <c r="BH23" s="177"/>
      <c r="BI23" s="177"/>
      <c r="BJ23" s="177"/>
      <c r="BK23" s="177"/>
      <c r="BL23" s="177"/>
      <c r="BM23" s="177"/>
      <c r="BN23" s="177"/>
      <c r="BO23" s="177"/>
    </row>
    <row r="24" spans="1:67" ht="13.75" customHeight="1">
      <c r="A24" s="239"/>
      <c r="B24" s="246" t="s">
        <v>206</v>
      </c>
      <c r="C24" s="279" t="s">
        <v>21</v>
      </c>
      <c r="D24" s="243"/>
      <c r="E24" s="242"/>
      <c r="F24" s="237"/>
      <c r="G24" s="245">
        <v>1000</v>
      </c>
      <c r="H24" s="216">
        <v>0</v>
      </c>
      <c r="I24" s="244"/>
      <c r="J24" s="228"/>
      <c r="K24" s="228"/>
      <c r="L24" s="234">
        <v>0.2</v>
      </c>
      <c r="M24" s="234">
        <v>0.8</v>
      </c>
      <c r="N24" s="233"/>
      <c r="O24" s="233"/>
      <c r="P24" s="335"/>
      <c r="Q24" s="177"/>
      <c r="R24" s="177"/>
      <c r="S24" s="351"/>
      <c r="T24" s="315"/>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352"/>
      <c r="BE24" s="177"/>
      <c r="BF24" s="177"/>
      <c r="BG24" s="177"/>
      <c r="BH24" s="177"/>
      <c r="BI24" s="177"/>
      <c r="BJ24" s="177"/>
      <c r="BK24" s="177"/>
      <c r="BL24" s="177"/>
      <c r="BM24" s="177"/>
      <c r="BN24" s="177"/>
      <c r="BO24" s="177"/>
    </row>
    <row r="25" spans="1:67" ht="13.75" customHeight="1">
      <c r="A25" s="239"/>
      <c r="B25" s="177" t="s">
        <v>344</v>
      </c>
      <c r="C25" s="278"/>
      <c r="D25" s="243"/>
      <c r="E25" s="242"/>
      <c r="F25" s="237"/>
      <c r="G25" s="245">
        <v>0</v>
      </c>
      <c r="H25" s="216">
        <v>0</v>
      </c>
      <c r="I25" s="244"/>
      <c r="J25" s="228"/>
      <c r="K25" s="228"/>
      <c r="L25" s="228"/>
      <c r="M25" s="233"/>
      <c r="N25" s="233"/>
      <c r="O25" s="233"/>
      <c r="P25" s="335"/>
      <c r="Q25" s="177"/>
      <c r="R25" s="177"/>
      <c r="S25" s="351"/>
      <c r="T25" s="315"/>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352"/>
      <c r="BE25" s="177"/>
      <c r="BF25" s="177"/>
      <c r="BG25" s="177"/>
      <c r="BH25" s="177"/>
      <c r="BI25" s="177"/>
      <c r="BJ25" s="177"/>
      <c r="BK25" s="177"/>
      <c r="BL25" s="177"/>
      <c r="BM25" s="177"/>
      <c r="BN25" s="177"/>
      <c r="BO25" s="177"/>
    </row>
    <row r="26" spans="1:67" ht="13.75" customHeight="1">
      <c r="A26" s="239"/>
      <c r="B26" s="177" t="s">
        <v>205</v>
      </c>
      <c r="C26" s="278" t="s">
        <v>21</v>
      </c>
      <c r="D26" s="243"/>
      <c r="E26" s="242"/>
      <c r="F26" s="237"/>
      <c r="G26" s="241">
        <v>12000</v>
      </c>
      <c r="H26" s="216">
        <v>0</v>
      </c>
      <c r="I26" s="240"/>
      <c r="J26" s="233"/>
      <c r="K26" s="233"/>
      <c r="L26" s="233"/>
      <c r="M26" s="233"/>
      <c r="N26" s="233"/>
      <c r="O26" s="233"/>
      <c r="P26" s="335"/>
      <c r="Q26" s="177"/>
      <c r="R26" s="177"/>
      <c r="S26" s="351"/>
      <c r="T26" s="315"/>
      <c r="U26" s="177"/>
      <c r="V26" s="177"/>
      <c r="W26" s="179">
        <v>1</v>
      </c>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352"/>
      <c r="BE26" s="177"/>
      <c r="BF26" s="177"/>
      <c r="BG26" s="177"/>
      <c r="BH26" s="177"/>
      <c r="BI26" s="177"/>
      <c r="BJ26" s="177"/>
      <c r="BK26" s="177"/>
      <c r="BL26" s="177"/>
      <c r="BM26" s="177"/>
      <c r="BN26" s="177"/>
      <c r="BO26" s="177"/>
    </row>
    <row r="27" spans="1:67" ht="13.75" customHeight="1">
      <c r="A27" s="239" t="s">
        <v>21</v>
      </c>
      <c r="B27" s="177" t="s">
        <v>21</v>
      </c>
      <c r="C27" s="278"/>
      <c r="D27" s="238"/>
      <c r="E27" s="237"/>
      <c r="F27" s="237">
        <f>D27*E27</f>
        <v>0</v>
      </c>
      <c r="G27" s="236">
        <v>0</v>
      </c>
      <c r="H27" s="235">
        <v>0</v>
      </c>
      <c r="I27" s="214">
        <v>0</v>
      </c>
      <c r="J27" s="228"/>
      <c r="K27" s="233"/>
      <c r="L27" s="234">
        <v>1</v>
      </c>
      <c r="M27" s="233"/>
      <c r="N27" s="233"/>
      <c r="O27" s="233"/>
      <c r="P27" s="335"/>
      <c r="Q27" s="177"/>
      <c r="R27" s="177"/>
      <c r="S27" s="351"/>
      <c r="T27" s="315"/>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352"/>
      <c r="BE27" s="177"/>
      <c r="BF27" s="177"/>
      <c r="BG27" s="177"/>
      <c r="BH27" s="177"/>
      <c r="BI27" s="177"/>
      <c r="BJ27" s="177"/>
      <c r="BK27" s="177"/>
      <c r="BL27" s="177"/>
      <c r="BM27" s="177"/>
      <c r="BN27" s="177"/>
      <c r="BO27" s="177"/>
    </row>
    <row r="28" spans="1:67" ht="13.75" customHeight="1">
      <c r="A28" s="227" t="s">
        <v>204</v>
      </c>
      <c r="B28" s="194" t="s">
        <v>265</v>
      </c>
      <c r="C28" s="280" t="s">
        <v>21</v>
      </c>
      <c r="D28" s="286">
        <v>0</v>
      </c>
      <c r="E28" s="192">
        <v>0</v>
      </c>
      <c r="F28" s="289">
        <f>D28*E28</f>
        <v>0</v>
      </c>
      <c r="G28" s="359">
        <v>12000</v>
      </c>
      <c r="H28" s="211">
        <v>0.4</v>
      </c>
      <c r="I28" s="212"/>
      <c r="J28" s="212"/>
      <c r="K28" s="211">
        <v>0.55000000000000004</v>
      </c>
      <c r="L28" s="210"/>
      <c r="M28" s="211">
        <v>0.03</v>
      </c>
      <c r="N28" s="211">
        <v>0.02</v>
      </c>
      <c r="O28" s="210"/>
      <c r="P28" s="336"/>
      <c r="Q28" s="177"/>
      <c r="R28" s="177"/>
      <c r="S28" s="351"/>
      <c r="T28" s="315"/>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352"/>
      <c r="BE28" s="177"/>
      <c r="BF28" s="177"/>
      <c r="BG28" s="177"/>
      <c r="BH28" s="177"/>
      <c r="BI28" s="177"/>
      <c r="BJ28" s="177"/>
      <c r="BK28" s="177"/>
      <c r="BL28" s="177"/>
      <c r="BM28" s="177"/>
      <c r="BN28" s="177"/>
      <c r="BO28" s="177"/>
    </row>
    <row r="29" spans="1:67" ht="13.75" customHeight="1">
      <c r="A29" s="227" t="s">
        <v>203</v>
      </c>
      <c r="B29" s="194" t="s">
        <v>266</v>
      </c>
      <c r="C29" s="280"/>
      <c r="D29" s="286">
        <v>0</v>
      </c>
      <c r="E29" s="192">
        <v>0</v>
      </c>
      <c r="F29" s="289">
        <f>D29*E29</f>
        <v>0</v>
      </c>
      <c r="G29" s="359">
        <v>8856</v>
      </c>
      <c r="H29" s="211">
        <v>0.4</v>
      </c>
      <c r="I29" s="210"/>
      <c r="J29" s="210"/>
      <c r="K29" s="211">
        <v>0.55000000000000004</v>
      </c>
      <c r="L29" s="210"/>
      <c r="M29" s="211">
        <v>0.03</v>
      </c>
      <c r="N29" s="211">
        <v>0.02</v>
      </c>
      <c r="O29" s="210"/>
      <c r="P29" s="336"/>
      <c r="Q29" s="177"/>
      <c r="R29" s="177"/>
      <c r="S29" s="351"/>
      <c r="T29" s="315"/>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352"/>
      <c r="BE29" s="177"/>
      <c r="BF29" s="177"/>
      <c r="BG29" s="177"/>
      <c r="BH29" s="177"/>
      <c r="BI29" s="177"/>
      <c r="BJ29" s="177"/>
      <c r="BK29" s="177"/>
      <c r="BL29" s="177"/>
      <c r="BM29" s="177"/>
      <c r="BN29" s="177"/>
      <c r="BO29" s="177"/>
    </row>
    <row r="30" spans="1:67" ht="13.75" customHeight="1">
      <c r="A30" s="227" t="s">
        <v>202</v>
      </c>
      <c r="B30" s="194" t="s">
        <v>267</v>
      </c>
      <c r="C30" s="280"/>
      <c r="D30" s="287">
        <v>0</v>
      </c>
      <c r="E30" s="232">
        <v>0</v>
      </c>
      <c r="F30" s="290">
        <f>D30*E30</f>
        <v>0</v>
      </c>
      <c r="G30" s="360">
        <v>9255</v>
      </c>
      <c r="H30" s="231">
        <v>0.4</v>
      </c>
      <c r="I30" s="230"/>
      <c r="J30" s="230"/>
      <c r="K30" s="211">
        <v>0.55000000000000004</v>
      </c>
      <c r="L30" s="210"/>
      <c r="M30" s="211">
        <v>0.03</v>
      </c>
      <c r="N30" s="211">
        <v>0.02</v>
      </c>
      <c r="O30" s="210"/>
      <c r="P30" s="336"/>
      <c r="Q30" s="177"/>
      <c r="R30" s="177"/>
      <c r="S30" s="351"/>
      <c r="T30" s="315"/>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352"/>
      <c r="BE30" s="177"/>
      <c r="BF30" s="177"/>
      <c r="BG30" s="177"/>
      <c r="BH30" s="177"/>
      <c r="BI30" s="177"/>
      <c r="BJ30" s="177"/>
      <c r="BK30" s="177"/>
      <c r="BL30" s="177"/>
      <c r="BM30" s="177"/>
      <c r="BN30" s="177"/>
      <c r="BO30" s="177"/>
    </row>
    <row r="31" spans="1:67" ht="13.75" customHeight="1">
      <c r="A31" s="227" t="s">
        <v>201</v>
      </c>
      <c r="B31" s="194" t="s">
        <v>268</v>
      </c>
      <c r="C31" s="281" t="s">
        <v>21</v>
      </c>
      <c r="D31" s="288">
        <v>0</v>
      </c>
      <c r="E31" s="194">
        <v>1</v>
      </c>
      <c r="F31" s="291">
        <f>D31*E31</f>
        <v>0</v>
      </c>
      <c r="G31" s="361">
        <v>5000</v>
      </c>
      <c r="H31" s="229">
        <v>0.4</v>
      </c>
      <c r="I31" s="216"/>
      <c r="J31" s="216"/>
      <c r="K31" s="225">
        <v>0.55000000000000004</v>
      </c>
      <c r="L31" s="210"/>
      <c r="M31" s="211">
        <v>0.03</v>
      </c>
      <c r="N31" s="211">
        <v>0.02</v>
      </c>
      <c r="O31" s="210"/>
      <c r="P31" s="336"/>
      <c r="Q31" s="177"/>
      <c r="R31" s="177"/>
      <c r="S31" s="351"/>
      <c r="T31" s="315"/>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352"/>
      <c r="BE31" s="177"/>
      <c r="BF31" s="177"/>
      <c r="BG31" s="177"/>
      <c r="BH31" s="177"/>
      <c r="BI31" s="177"/>
      <c r="BJ31" s="177"/>
      <c r="BK31" s="177"/>
      <c r="BL31" s="177"/>
      <c r="BM31" s="177"/>
      <c r="BN31" s="177"/>
      <c r="BO31" s="177"/>
    </row>
    <row r="32" spans="1:67" ht="13.75" customHeight="1">
      <c r="A32" s="227" t="s">
        <v>200</v>
      </c>
      <c r="B32" s="294" t="s">
        <v>269</v>
      </c>
      <c r="C32" s="281" t="s">
        <v>21</v>
      </c>
      <c r="D32" s="357">
        <v>12000</v>
      </c>
      <c r="E32" s="294">
        <v>5</v>
      </c>
      <c r="F32" s="291">
        <f>E32*D32</f>
        <v>60000</v>
      </c>
      <c r="G32" s="361">
        <f>F32</f>
        <v>60000</v>
      </c>
      <c r="H32" s="229">
        <v>0.4</v>
      </c>
      <c r="I32" s="216"/>
      <c r="J32" s="216"/>
      <c r="K32" s="225">
        <v>0.55000000000000004</v>
      </c>
      <c r="L32" s="210"/>
      <c r="M32" s="211">
        <v>0.03</v>
      </c>
      <c r="N32" s="211">
        <v>0.02</v>
      </c>
      <c r="O32" s="210"/>
      <c r="P32" s="336"/>
      <c r="Q32" s="177"/>
      <c r="R32" s="177"/>
      <c r="S32" s="351"/>
      <c r="T32" s="315"/>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352"/>
      <c r="BE32" s="177"/>
      <c r="BF32" s="177"/>
      <c r="BG32" s="177"/>
      <c r="BH32" s="177"/>
      <c r="BI32" s="177"/>
      <c r="BJ32" s="177"/>
      <c r="BK32" s="177"/>
      <c r="BL32" s="177"/>
      <c r="BM32" s="177"/>
      <c r="BN32" s="177"/>
      <c r="BO32" s="177"/>
    </row>
    <row r="33" spans="1:67" ht="13.75" customHeight="1">
      <c r="A33" s="227" t="s">
        <v>199</v>
      </c>
      <c r="B33" s="194" t="s">
        <v>270</v>
      </c>
      <c r="C33" s="281"/>
      <c r="D33" s="288">
        <v>0</v>
      </c>
      <c r="E33" s="194">
        <v>0</v>
      </c>
      <c r="F33" s="291">
        <f t="shared" ref="F33:F48" si="10">D33*E33</f>
        <v>0</v>
      </c>
      <c r="G33" s="361">
        <v>9660</v>
      </c>
      <c r="H33" s="229">
        <v>0.4</v>
      </c>
      <c r="I33" s="216"/>
      <c r="J33" s="216"/>
      <c r="K33" s="225">
        <v>0.55000000000000004</v>
      </c>
      <c r="L33" s="210"/>
      <c r="M33" s="211">
        <v>0.03</v>
      </c>
      <c r="N33" s="211">
        <v>0.02</v>
      </c>
      <c r="O33" s="210"/>
      <c r="P33" s="336"/>
      <c r="Q33" s="177"/>
      <c r="R33" s="177"/>
      <c r="S33" s="351"/>
      <c r="T33" s="315"/>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352"/>
      <c r="BE33" s="177"/>
      <c r="BF33" s="177"/>
      <c r="BG33" s="177"/>
      <c r="BH33" s="177"/>
      <c r="BI33" s="177"/>
      <c r="BJ33" s="177"/>
      <c r="BK33" s="177"/>
      <c r="BL33" s="177"/>
      <c r="BM33" s="177"/>
      <c r="BN33" s="177"/>
      <c r="BO33" s="177"/>
    </row>
    <row r="34" spans="1:67" ht="13.75" customHeight="1">
      <c r="B34" s="194" t="s">
        <v>271</v>
      </c>
      <c r="C34" s="281"/>
      <c r="D34" s="288">
        <v>0</v>
      </c>
      <c r="E34" s="194">
        <v>0</v>
      </c>
      <c r="F34" s="291">
        <f>D34*E34</f>
        <v>0</v>
      </c>
      <c r="G34" s="361">
        <v>9660</v>
      </c>
      <c r="H34" s="229">
        <v>0.4</v>
      </c>
      <c r="I34" s="216"/>
      <c r="J34" s="216"/>
      <c r="K34" s="225">
        <v>0.55000000000000004</v>
      </c>
      <c r="L34" s="210"/>
      <c r="M34" s="211">
        <v>0.03</v>
      </c>
      <c r="N34" s="211">
        <v>0.02</v>
      </c>
      <c r="O34" s="210"/>
      <c r="P34" s="336"/>
      <c r="Q34" s="177"/>
      <c r="R34" s="177"/>
      <c r="S34" s="351"/>
      <c r="T34" s="315"/>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352"/>
      <c r="BE34" s="177"/>
      <c r="BF34" s="177"/>
      <c r="BG34" s="177"/>
      <c r="BH34" s="177"/>
      <c r="BI34" s="177"/>
      <c r="BJ34" s="177"/>
      <c r="BK34" s="177"/>
      <c r="BL34" s="177"/>
      <c r="BM34" s="177"/>
      <c r="BN34" s="177"/>
      <c r="BO34" s="177"/>
    </row>
    <row r="35" spans="1:67" ht="13.75" customHeight="1">
      <c r="B35" s="194" t="s">
        <v>272</v>
      </c>
      <c r="C35" s="281"/>
      <c r="D35" s="288">
        <v>0</v>
      </c>
      <c r="E35" s="194">
        <v>0</v>
      </c>
      <c r="F35" s="291">
        <f t="shared" si="10"/>
        <v>0</v>
      </c>
      <c r="G35" s="361">
        <v>900</v>
      </c>
      <c r="H35" s="229">
        <v>0.4</v>
      </c>
      <c r="I35" s="216"/>
      <c r="J35" s="216"/>
      <c r="K35" s="225">
        <v>0.55000000000000004</v>
      </c>
      <c r="L35" s="210"/>
      <c r="M35" s="211">
        <v>0.03</v>
      </c>
      <c r="N35" s="211">
        <v>0.02</v>
      </c>
      <c r="O35" s="210"/>
      <c r="P35" s="336"/>
      <c r="Q35" s="177"/>
      <c r="R35" s="177"/>
      <c r="S35" s="351"/>
      <c r="T35" s="315"/>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352"/>
      <c r="BE35" s="177"/>
      <c r="BF35" s="177"/>
      <c r="BG35" s="177"/>
      <c r="BH35" s="177"/>
      <c r="BI35" s="177"/>
      <c r="BJ35" s="177"/>
      <c r="BK35" s="177"/>
      <c r="BL35" s="177"/>
      <c r="BM35" s="177"/>
      <c r="BN35" s="177"/>
      <c r="BO35" s="177"/>
    </row>
    <row r="36" spans="1:67" ht="13.75" customHeight="1">
      <c r="A36" s="227" t="s">
        <v>198</v>
      </c>
      <c r="B36" s="194" t="s">
        <v>273</v>
      </c>
      <c r="C36" s="281"/>
      <c r="D36" s="288">
        <v>0</v>
      </c>
      <c r="E36" s="194">
        <v>0</v>
      </c>
      <c r="F36" s="291">
        <f t="shared" si="10"/>
        <v>0</v>
      </c>
      <c r="G36" s="361">
        <v>1200</v>
      </c>
      <c r="H36" s="229">
        <v>0.4</v>
      </c>
      <c r="I36" s="216"/>
      <c r="J36" s="216"/>
      <c r="K36" s="225">
        <v>0.55000000000000004</v>
      </c>
      <c r="L36" s="210"/>
      <c r="M36" s="211">
        <v>0.03</v>
      </c>
      <c r="N36" s="211">
        <v>0.02</v>
      </c>
      <c r="O36" s="210"/>
      <c r="P36" s="336"/>
      <c r="Q36" s="177"/>
      <c r="R36" s="177"/>
      <c r="S36" s="351"/>
      <c r="T36" s="315"/>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352"/>
      <c r="BE36" s="177"/>
      <c r="BF36" s="177"/>
      <c r="BG36" s="177"/>
      <c r="BH36" s="177"/>
      <c r="BI36" s="177"/>
      <c r="BJ36" s="177"/>
      <c r="BK36" s="177"/>
      <c r="BL36" s="177"/>
      <c r="BM36" s="177"/>
      <c r="BN36" s="177"/>
      <c r="BO36" s="177"/>
    </row>
    <row r="37" spans="1:67" ht="13.75" customHeight="1">
      <c r="A37" s="227" t="s">
        <v>197</v>
      </c>
      <c r="B37" s="194" t="s">
        <v>274</v>
      </c>
      <c r="C37" s="281"/>
      <c r="D37" s="288">
        <v>0</v>
      </c>
      <c r="E37" s="194">
        <v>0</v>
      </c>
      <c r="F37" s="291">
        <f t="shared" si="10"/>
        <v>0</v>
      </c>
      <c r="G37" s="361">
        <v>400</v>
      </c>
      <c r="H37" s="229">
        <v>0.4</v>
      </c>
      <c r="I37" s="216"/>
      <c r="J37" s="216"/>
      <c r="K37" s="225">
        <v>0.55000000000000004</v>
      </c>
      <c r="L37" s="210"/>
      <c r="M37" s="211">
        <v>0.03</v>
      </c>
      <c r="N37" s="211">
        <v>0.02</v>
      </c>
      <c r="O37" s="210"/>
      <c r="P37" s="336"/>
      <c r="Q37" s="177"/>
      <c r="R37" s="177"/>
      <c r="S37" s="351"/>
      <c r="T37" s="315"/>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352"/>
      <c r="BE37" s="177"/>
      <c r="BF37" s="177"/>
      <c r="BG37" s="177"/>
      <c r="BH37" s="177"/>
      <c r="BI37" s="177"/>
      <c r="BJ37" s="177"/>
      <c r="BK37" s="177"/>
      <c r="BL37" s="177"/>
      <c r="BM37" s="177"/>
      <c r="BN37" s="177"/>
      <c r="BO37" s="177"/>
    </row>
    <row r="38" spans="1:67" ht="13.75" customHeight="1">
      <c r="A38" s="227" t="s">
        <v>196</v>
      </c>
      <c r="B38" s="194" t="s">
        <v>275</v>
      </c>
      <c r="C38" s="281" t="s">
        <v>21</v>
      </c>
      <c r="D38" s="288">
        <v>0</v>
      </c>
      <c r="E38" s="194">
        <v>0</v>
      </c>
      <c r="F38" s="291">
        <f t="shared" si="10"/>
        <v>0</v>
      </c>
      <c r="G38" s="361">
        <v>650</v>
      </c>
      <c r="H38" s="229">
        <v>0.4</v>
      </c>
      <c r="I38" s="216"/>
      <c r="J38" s="216"/>
      <c r="K38" s="225">
        <v>0.55000000000000004</v>
      </c>
      <c r="L38" s="210"/>
      <c r="M38" s="211">
        <v>0.03</v>
      </c>
      <c r="N38" s="211">
        <v>0.02</v>
      </c>
      <c r="O38" s="210"/>
      <c r="P38" s="336"/>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352"/>
      <c r="BE38" s="177"/>
      <c r="BF38" s="177"/>
      <c r="BG38" s="177"/>
      <c r="BH38" s="177"/>
      <c r="BI38" s="177"/>
      <c r="BJ38" s="177"/>
      <c r="BK38" s="177"/>
      <c r="BL38" s="177"/>
      <c r="BM38" s="177"/>
      <c r="BN38" s="177"/>
      <c r="BO38" s="177"/>
    </row>
    <row r="39" spans="1:67" ht="13.75" customHeight="1">
      <c r="A39" s="227" t="s">
        <v>195</v>
      </c>
      <c r="B39" s="194" t="s">
        <v>278</v>
      </c>
      <c r="C39" s="282" t="s">
        <v>354</v>
      </c>
      <c r="D39" s="184">
        <v>1500</v>
      </c>
      <c r="E39" s="194">
        <v>6</v>
      </c>
      <c r="F39" s="291">
        <f t="shared" si="10"/>
        <v>9000</v>
      </c>
      <c r="G39" s="361">
        <f>F39</f>
        <v>9000</v>
      </c>
      <c r="H39" s="229">
        <v>0.4</v>
      </c>
      <c r="I39" s="216"/>
      <c r="J39" s="216"/>
      <c r="K39" s="225">
        <v>0.55000000000000004</v>
      </c>
      <c r="L39" s="210"/>
      <c r="M39" s="211">
        <v>0.03</v>
      </c>
      <c r="N39" s="211">
        <v>0.02</v>
      </c>
      <c r="O39" s="210"/>
      <c r="P39" s="336"/>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352"/>
      <c r="BE39" s="177"/>
      <c r="BF39" s="177"/>
      <c r="BG39" s="177"/>
      <c r="BH39" s="177"/>
      <c r="BI39" s="177"/>
      <c r="BJ39" s="177"/>
      <c r="BK39" s="177"/>
      <c r="BL39" s="177"/>
      <c r="BM39" s="177"/>
      <c r="BN39" s="177"/>
      <c r="BO39" s="177"/>
    </row>
    <row r="40" spans="1:67" ht="13.75" customHeight="1">
      <c r="A40" s="227" t="s">
        <v>194</v>
      </c>
      <c r="B40" s="194" t="s">
        <v>21</v>
      </c>
      <c r="C40" s="282" t="s">
        <v>279</v>
      </c>
      <c r="D40" s="184">
        <v>0</v>
      </c>
      <c r="E40" s="194">
        <v>0</v>
      </c>
      <c r="F40" s="291">
        <f t="shared" si="10"/>
        <v>0</v>
      </c>
      <c r="G40" s="361">
        <f>F40</f>
        <v>0</v>
      </c>
      <c r="H40" s="300">
        <v>0.4</v>
      </c>
      <c r="I40" s="228"/>
      <c r="J40" s="228"/>
      <c r="K40" s="211">
        <v>0.55000000000000004</v>
      </c>
      <c r="L40" s="210"/>
      <c r="M40" s="211">
        <v>0.03</v>
      </c>
      <c r="N40" s="211">
        <v>0.02</v>
      </c>
      <c r="O40" s="210"/>
      <c r="P40" s="336"/>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352"/>
      <c r="BE40" s="177"/>
      <c r="BF40" s="177"/>
      <c r="BG40" s="177"/>
      <c r="BH40" s="177"/>
      <c r="BI40" s="177"/>
      <c r="BJ40" s="177"/>
      <c r="BK40" s="177"/>
      <c r="BL40" s="177"/>
      <c r="BM40" s="177"/>
      <c r="BN40" s="177"/>
      <c r="BO40" s="177"/>
    </row>
    <row r="41" spans="1:67" ht="13.75" customHeight="1">
      <c r="A41" s="227" t="s">
        <v>193</v>
      </c>
      <c r="B41" s="194" t="s">
        <v>21</v>
      </c>
      <c r="C41" s="282" t="s">
        <v>280</v>
      </c>
      <c r="D41" s="184">
        <v>0</v>
      </c>
      <c r="E41" s="194">
        <v>0</v>
      </c>
      <c r="F41" s="291">
        <f t="shared" si="10"/>
        <v>0</v>
      </c>
      <c r="G41" s="361">
        <f>F41</f>
        <v>0</v>
      </c>
      <c r="H41" s="301">
        <v>0.4</v>
      </c>
      <c r="I41" s="212"/>
      <c r="J41" s="212"/>
      <c r="K41" s="211">
        <v>0.55000000000000004</v>
      </c>
      <c r="L41" s="210"/>
      <c r="M41" s="211">
        <v>0.03</v>
      </c>
      <c r="N41" s="211">
        <v>0.02</v>
      </c>
      <c r="O41" s="210"/>
      <c r="P41" s="336"/>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352"/>
      <c r="BE41" s="177"/>
      <c r="BF41" s="177"/>
      <c r="BG41" s="177"/>
      <c r="BH41" s="177"/>
      <c r="BI41" s="177"/>
      <c r="BJ41" s="177"/>
      <c r="BK41" s="177"/>
      <c r="BL41" s="177"/>
      <c r="BM41" s="177"/>
      <c r="BN41" s="177"/>
      <c r="BO41" s="177"/>
    </row>
    <row r="42" spans="1:67" ht="13.75" customHeight="1">
      <c r="A42" s="227" t="s">
        <v>192</v>
      </c>
      <c r="B42" s="194" t="s">
        <v>191</v>
      </c>
      <c r="C42" s="282"/>
      <c r="D42" s="184">
        <v>3000</v>
      </c>
      <c r="E42" s="194">
        <v>1</v>
      </c>
      <c r="F42" s="291">
        <f t="shared" si="10"/>
        <v>3000</v>
      </c>
      <c r="G42" s="361">
        <f>F42</f>
        <v>3000</v>
      </c>
      <c r="H42" s="301">
        <v>0.4</v>
      </c>
      <c r="I42" s="212"/>
      <c r="J42" s="212"/>
      <c r="K42" s="211">
        <v>0.55000000000000004</v>
      </c>
      <c r="L42" s="210"/>
      <c r="M42" s="211">
        <v>0.03</v>
      </c>
      <c r="N42" s="211">
        <v>0.02</v>
      </c>
      <c r="O42" s="210"/>
      <c r="P42" s="336"/>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352"/>
      <c r="BE42" s="177"/>
      <c r="BF42" s="177"/>
      <c r="BG42" s="177"/>
      <c r="BH42" s="177"/>
      <c r="BI42" s="177"/>
      <c r="BJ42" s="177"/>
      <c r="BK42" s="177"/>
      <c r="BL42" s="177"/>
      <c r="BM42" s="177"/>
      <c r="BN42" s="177"/>
      <c r="BO42" s="177"/>
    </row>
    <row r="43" spans="1:67" ht="13.75" customHeight="1">
      <c r="A43" s="227" t="s">
        <v>190</v>
      </c>
      <c r="B43" s="194" t="s">
        <v>21</v>
      </c>
      <c r="C43" s="364" t="s">
        <v>345</v>
      </c>
      <c r="D43" s="184">
        <v>0</v>
      </c>
      <c r="E43" s="194">
        <v>1</v>
      </c>
      <c r="F43" s="291">
        <f t="shared" si="10"/>
        <v>0</v>
      </c>
      <c r="G43" s="293">
        <v>50000</v>
      </c>
      <c r="H43" s="301">
        <v>0.4</v>
      </c>
      <c r="I43" s="212"/>
      <c r="J43" s="212"/>
      <c r="K43" s="211">
        <v>0.55000000000000004</v>
      </c>
      <c r="L43" s="210"/>
      <c r="M43" s="211">
        <v>0.03</v>
      </c>
      <c r="N43" s="211">
        <v>0.02</v>
      </c>
      <c r="O43" s="210"/>
      <c r="P43" s="336"/>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352"/>
      <c r="BE43" s="177"/>
      <c r="BF43" s="177"/>
      <c r="BG43" s="177"/>
      <c r="BH43" s="177"/>
      <c r="BI43" s="177"/>
      <c r="BJ43" s="177"/>
      <c r="BK43" s="177"/>
      <c r="BL43" s="177"/>
      <c r="BM43" s="177"/>
      <c r="BN43" s="177"/>
      <c r="BO43" s="177"/>
    </row>
    <row r="44" spans="1:67" ht="13.75" customHeight="1">
      <c r="A44" s="227" t="s">
        <v>189</v>
      </c>
      <c r="B44" s="194"/>
      <c r="C44" s="282"/>
      <c r="D44" s="184">
        <v>0</v>
      </c>
      <c r="E44" s="194">
        <v>1</v>
      </c>
      <c r="F44" s="291">
        <f t="shared" si="10"/>
        <v>0</v>
      </c>
      <c r="G44" s="361">
        <f>F44*$E$86</f>
        <v>0</v>
      </c>
      <c r="H44" s="301">
        <v>0.4</v>
      </c>
      <c r="I44" s="212"/>
      <c r="J44" s="212"/>
      <c r="K44" s="211">
        <v>0.55000000000000004</v>
      </c>
      <c r="L44" s="210"/>
      <c r="M44" s="211">
        <v>0.03</v>
      </c>
      <c r="N44" s="211">
        <v>0.02</v>
      </c>
      <c r="O44" s="210"/>
      <c r="P44" s="336"/>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352"/>
      <c r="BE44" s="177"/>
      <c r="BF44" s="177"/>
      <c r="BG44" s="177"/>
      <c r="BH44" s="177"/>
      <c r="BI44" s="177"/>
      <c r="BJ44" s="177"/>
      <c r="BK44" s="177"/>
      <c r="BL44" s="177"/>
      <c r="BM44" s="177"/>
      <c r="BN44" s="177"/>
      <c r="BO44" s="177"/>
    </row>
    <row r="45" spans="1:67" ht="13.75" customHeight="1">
      <c r="A45" s="227" t="s">
        <v>188</v>
      </c>
      <c r="B45" s="194"/>
      <c r="C45" s="282"/>
      <c r="D45" s="184">
        <v>0</v>
      </c>
      <c r="E45" s="194">
        <v>1</v>
      </c>
      <c r="F45" s="291">
        <f t="shared" si="10"/>
        <v>0</v>
      </c>
      <c r="G45" s="361">
        <f>F45*$E$86</f>
        <v>0</v>
      </c>
      <c r="H45" s="301">
        <v>0.4</v>
      </c>
      <c r="I45" s="212"/>
      <c r="J45" s="212"/>
      <c r="K45" s="211">
        <v>0.55000000000000004</v>
      </c>
      <c r="L45" s="210"/>
      <c r="M45" s="211">
        <v>0.03</v>
      </c>
      <c r="N45" s="211">
        <v>0.02</v>
      </c>
      <c r="O45" s="210"/>
      <c r="P45" s="336"/>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352"/>
      <c r="BE45" s="177"/>
      <c r="BF45" s="177"/>
      <c r="BG45" s="177"/>
      <c r="BH45" s="177"/>
      <c r="BI45" s="177"/>
      <c r="BJ45" s="177"/>
      <c r="BK45" s="177"/>
      <c r="BL45" s="177"/>
      <c r="BM45" s="177"/>
      <c r="BN45" s="177"/>
      <c r="BO45" s="177"/>
    </row>
    <row r="46" spans="1:67" ht="13.75" customHeight="1">
      <c r="A46" s="227" t="s">
        <v>187</v>
      </c>
      <c r="B46" s="194"/>
      <c r="C46" s="282"/>
      <c r="D46" s="184">
        <v>0</v>
      </c>
      <c r="E46" s="194"/>
      <c r="F46" s="291">
        <f t="shared" si="10"/>
        <v>0</v>
      </c>
      <c r="G46" s="361"/>
      <c r="H46" s="301">
        <v>0.4</v>
      </c>
      <c r="I46" s="212"/>
      <c r="J46" s="210"/>
      <c r="K46" s="211">
        <v>0.55000000000000004</v>
      </c>
      <c r="L46" s="210"/>
      <c r="M46" s="211">
        <v>0.03</v>
      </c>
      <c r="N46" s="211">
        <v>0.02</v>
      </c>
      <c r="O46" s="210"/>
      <c r="P46" s="336"/>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352"/>
      <c r="BE46" s="177"/>
      <c r="BF46" s="177"/>
      <c r="BG46" s="177"/>
      <c r="BH46" s="177"/>
      <c r="BI46" s="177"/>
      <c r="BJ46" s="177"/>
      <c r="BK46" s="177"/>
      <c r="BL46" s="177"/>
      <c r="BM46" s="177"/>
      <c r="BN46" s="177"/>
      <c r="BO46" s="177"/>
    </row>
    <row r="47" spans="1:67" ht="13.75" customHeight="1">
      <c r="A47" s="227" t="s">
        <v>186</v>
      </c>
      <c r="B47" s="194"/>
      <c r="C47" s="282"/>
      <c r="D47" s="184">
        <v>0</v>
      </c>
      <c r="E47" s="194"/>
      <c r="F47" s="291">
        <f t="shared" si="10"/>
        <v>0</v>
      </c>
      <c r="G47" s="361"/>
      <c r="H47" s="301">
        <v>0.4</v>
      </c>
      <c r="I47" s="212"/>
      <c r="J47" s="210"/>
      <c r="K47" s="211">
        <v>0.55000000000000004</v>
      </c>
      <c r="L47" s="210"/>
      <c r="M47" s="211">
        <v>0.03</v>
      </c>
      <c r="N47" s="211">
        <v>0.02</v>
      </c>
      <c r="O47" s="210"/>
      <c r="P47" s="336"/>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352"/>
      <c r="BE47" s="177"/>
      <c r="BF47" s="177"/>
      <c r="BG47" s="177"/>
      <c r="BH47" s="177"/>
      <c r="BI47" s="177"/>
      <c r="BJ47" s="177"/>
      <c r="BK47" s="177"/>
      <c r="BL47" s="177"/>
      <c r="BM47" s="177"/>
      <c r="BN47" s="177"/>
      <c r="BO47" s="177"/>
    </row>
    <row r="48" spans="1:67" ht="13.75" customHeight="1">
      <c r="A48" s="227" t="s">
        <v>185</v>
      </c>
      <c r="B48" s="194"/>
      <c r="C48" s="282"/>
      <c r="D48" s="184">
        <v>0</v>
      </c>
      <c r="E48" s="194"/>
      <c r="F48" s="291">
        <f t="shared" si="10"/>
        <v>0</v>
      </c>
      <c r="G48" s="361">
        <v>0</v>
      </c>
      <c r="H48" s="301">
        <v>0.4</v>
      </c>
      <c r="I48" s="212"/>
      <c r="J48" s="210"/>
      <c r="K48" s="211">
        <v>0.55000000000000004</v>
      </c>
      <c r="L48" s="210"/>
      <c r="M48" s="211">
        <v>0.03</v>
      </c>
      <c r="N48" s="211">
        <v>0.02</v>
      </c>
      <c r="O48" s="210"/>
      <c r="P48" s="336"/>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352"/>
      <c r="BE48" s="177"/>
      <c r="BF48" s="177"/>
      <c r="BG48" s="177"/>
      <c r="BH48" s="177"/>
      <c r="BI48" s="177"/>
      <c r="BJ48" s="177"/>
      <c r="BK48" s="177"/>
      <c r="BL48" s="177"/>
      <c r="BM48" s="177"/>
      <c r="BN48" s="177"/>
      <c r="BO48" s="177"/>
    </row>
    <row r="49" spans="1:67" ht="13.75" customHeight="1">
      <c r="A49" s="227" t="s">
        <v>184</v>
      </c>
      <c r="B49" s="226" t="s">
        <v>183</v>
      </c>
      <c r="C49" s="283"/>
      <c r="D49" s="224"/>
      <c r="E49" s="194"/>
      <c r="F49" s="194"/>
      <c r="G49" s="361">
        <v>1000</v>
      </c>
      <c r="H49" s="219">
        <v>0</v>
      </c>
      <c r="I49" s="212"/>
      <c r="J49" s="210"/>
      <c r="K49" s="210"/>
      <c r="L49" s="211">
        <v>1</v>
      </c>
      <c r="M49" s="210"/>
      <c r="N49" s="210">
        <v>0</v>
      </c>
      <c r="O49" s="210"/>
      <c r="P49" s="336"/>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352"/>
      <c r="BE49" s="177"/>
      <c r="BF49" s="177"/>
      <c r="BG49" s="177"/>
      <c r="BH49" s="177"/>
      <c r="BI49" s="177"/>
      <c r="BJ49" s="177"/>
      <c r="BK49" s="177"/>
      <c r="BL49" s="177"/>
      <c r="BM49" s="177"/>
      <c r="BN49" s="177"/>
      <c r="BO49" s="177"/>
    </row>
    <row r="50" spans="1:67" ht="13.75" customHeight="1">
      <c r="A50" s="227" t="s">
        <v>182</v>
      </c>
      <c r="B50" s="226" t="s">
        <v>276</v>
      </c>
      <c r="C50" s="283" t="s">
        <v>21</v>
      </c>
      <c r="D50" s="224"/>
      <c r="E50" s="194"/>
      <c r="F50" s="194"/>
      <c r="G50" s="361">
        <v>12000</v>
      </c>
      <c r="H50" s="219">
        <v>0</v>
      </c>
      <c r="I50" s="212"/>
      <c r="J50" s="210"/>
      <c r="K50" s="210"/>
      <c r="L50" s="210">
        <v>0</v>
      </c>
      <c r="M50" s="211">
        <v>1</v>
      </c>
      <c r="N50" s="210"/>
      <c r="O50" s="210"/>
      <c r="P50" s="336"/>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352"/>
      <c r="BE50" s="177"/>
      <c r="BF50" s="177"/>
      <c r="BG50" s="177"/>
      <c r="BH50" s="177"/>
      <c r="BI50" s="177"/>
      <c r="BJ50" s="177"/>
      <c r="BK50" s="177"/>
      <c r="BL50" s="177"/>
      <c r="BM50" s="177"/>
      <c r="BN50" s="177"/>
      <c r="BO50" s="177"/>
    </row>
    <row r="51" spans="1:67" ht="13.75" customHeight="1">
      <c r="A51" s="220"/>
      <c r="B51" s="226" t="s">
        <v>181</v>
      </c>
      <c r="C51" s="283" t="s">
        <v>21</v>
      </c>
      <c r="D51" s="224">
        <v>0</v>
      </c>
      <c r="E51" s="194">
        <v>1</v>
      </c>
      <c r="F51" s="224">
        <f>D51*E51</f>
        <v>0</v>
      </c>
      <c r="G51" s="361">
        <f>F51*$E$86</f>
        <v>0</v>
      </c>
      <c r="H51" s="219">
        <v>0</v>
      </c>
      <c r="I51" s="212"/>
      <c r="J51" s="210"/>
      <c r="K51" s="211">
        <v>0.55000000000000004</v>
      </c>
      <c r="L51" s="210"/>
      <c r="M51" s="211">
        <v>0.03</v>
      </c>
      <c r="N51" s="211">
        <v>0.02</v>
      </c>
      <c r="O51" s="210"/>
      <c r="P51" s="336"/>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352"/>
      <c r="BE51" s="177"/>
      <c r="BF51" s="177"/>
      <c r="BG51" s="177"/>
      <c r="BH51" s="177"/>
      <c r="BI51" s="177"/>
      <c r="BJ51" s="177"/>
      <c r="BK51" s="177"/>
      <c r="BL51" s="177"/>
      <c r="BM51" s="177"/>
      <c r="BN51" s="177"/>
      <c r="BO51" s="177"/>
    </row>
    <row r="52" spans="1:67" ht="13.75" customHeight="1">
      <c r="A52" s="220"/>
      <c r="B52" s="194" t="s">
        <v>180</v>
      </c>
      <c r="C52" s="282"/>
      <c r="D52" s="224"/>
      <c r="E52" s="194"/>
      <c r="F52" s="194">
        <f>D52*E52</f>
        <v>0</v>
      </c>
      <c r="G52" s="361">
        <v>2000</v>
      </c>
      <c r="H52" s="219">
        <v>0</v>
      </c>
      <c r="I52" s="212"/>
      <c r="J52" s="210"/>
      <c r="K52" s="210"/>
      <c r="L52" s="212">
        <v>0</v>
      </c>
      <c r="M52" s="211">
        <v>1</v>
      </c>
      <c r="N52" s="210"/>
      <c r="O52" s="210"/>
      <c r="P52" s="336"/>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352"/>
      <c r="BE52" s="177"/>
      <c r="BF52" s="177"/>
      <c r="BG52" s="177"/>
      <c r="BH52" s="177"/>
      <c r="BI52" s="177"/>
      <c r="BJ52" s="177"/>
      <c r="BK52" s="177"/>
      <c r="BL52" s="177"/>
      <c r="BM52" s="177"/>
      <c r="BN52" s="177"/>
      <c r="BO52" s="177"/>
    </row>
    <row r="53" spans="1:67" ht="13.75" customHeight="1">
      <c r="A53" s="220"/>
      <c r="B53" s="194" t="s">
        <v>179</v>
      </c>
      <c r="C53" s="280" t="s">
        <v>21</v>
      </c>
      <c r="D53" s="223"/>
      <c r="E53" s="222" t="s">
        <v>21</v>
      </c>
      <c r="F53" s="221" t="s">
        <v>21</v>
      </c>
      <c r="G53" s="362">
        <v>10000</v>
      </c>
      <c r="H53" s="219">
        <v>0</v>
      </c>
      <c r="I53" s="212"/>
      <c r="J53" s="210"/>
      <c r="K53" s="210"/>
      <c r="L53" s="210"/>
      <c r="M53" s="211">
        <v>1</v>
      </c>
      <c r="N53" s="210"/>
      <c r="O53" s="210"/>
      <c r="P53" s="336"/>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352"/>
      <c r="BE53" s="177"/>
      <c r="BF53" s="177"/>
      <c r="BG53" s="177"/>
      <c r="BH53" s="177"/>
      <c r="BI53" s="177"/>
      <c r="BJ53" s="177"/>
      <c r="BK53" s="177"/>
      <c r="BL53" s="177"/>
      <c r="BM53" s="177"/>
      <c r="BN53" s="177"/>
      <c r="BO53" s="177"/>
    </row>
    <row r="54" spans="1:67" ht="13.75" customHeight="1">
      <c r="A54" s="220"/>
      <c r="B54" s="194" t="s">
        <v>178</v>
      </c>
      <c r="C54" s="280"/>
      <c r="D54" s="208"/>
      <c r="E54" s="192"/>
      <c r="F54" s="191">
        <f t="shared" ref="F54:F62" si="11">D54*E54</f>
        <v>0</v>
      </c>
      <c r="G54" s="359">
        <v>6000</v>
      </c>
      <c r="H54" s="219">
        <v>0</v>
      </c>
      <c r="I54" s="212"/>
      <c r="J54" s="210"/>
      <c r="K54" s="210"/>
      <c r="L54" s="211">
        <v>1</v>
      </c>
      <c r="M54" s="210"/>
      <c r="N54" s="210"/>
      <c r="O54" s="210"/>
      <c r="P54" s="336"/>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352"/>
      <c r="BE54" s="177"/>
      <c r="BF54" s="177"/>
      <c r="BG54" s="177"/>
      <c r="BH54" s="177"/>
      <c r="BI54" s="177"/>
      <c r="BJ54" s="177"/>
      <c r="BK54" s="177"/>
      <c r="BL54" s="177"/>
      <c r="BM54" s="177"/>
      <c r="BN54" s="177"/>
      <c r="BO54" s="177"/>
    </row>
    <row r="55" spans="1:67" ht="13.75" customHeight="1">
      <c r="A55" s="332" t="s">
        <v>153</v>
      </c>
      <c r="B55" s="294" t="s">
        <v>320</v>
      </c>
      <c r="C55" s="334">
        <v>43525</v>
      </c>
      <c r="D55" s="286">
        <v>25000</v>
      </c>
      <c r="E55" s="331">
        <v>1</v>
      </c>
      <c r="F55" s="329">
        <f>D55*E55</f>
        <v>25000</v>
      </c>
      <c r="G55" s="330">
        <f t="shared" ref="G55:G62" si="12">F55</f>
        <v>25000</v>
      </c>
      <c r="H55" s="219">
        <v>0</v>
      </c>
      <c r="I55" s="212"/>
      <c r="J55" s="210"/>
      <c r="K55" s="210"/>
      <c r="L55" s="210"/>
      <c r="M55" s="210"/>
      <c r="N55" s="210"/>
      <c r="O55" s="210"/>
      <c r="P55" s="336"/>
      <c r="Q55" s="177"/>
      <c r="R55" s="177"/>
      <c r="S55" s="177"/>
      <c r="T55" s="179">
        <v>0.5</v>
      </c>
      <c r="U55" s="177"/>
      <c r="V55" s="177"/>
      <c r="W55" s="179">
        <v>0.4</v>
      </c>
      <c r="X55" s="179">
        <v>0.1</v>
      </c>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352"/>
      <c r="BE55" s="177"/>
      <c r="BF55" s="177"/>
      <c r="BG55" s="177"/>
      <c r="BH55" s="177"/>
      <c r="BI55" s="177"/>
      <c r="BJ55" s="177"/>
      <c r="BK55" s="177"/>
      <c r="BL55" s="177"/>
      <c r="BM55" s="177"/>
      <c r="BN55" s="177"/>
      <c r="BO55" s="177"/>
    </row>
    <row r="56" spans="1:67" ht="13.75" customHeight="1">
      <c r="A56" s="333" t="s">
        <v>235</v>
      </c>
      <c r="B56" s="294" t="s">
        <v>320</v>
      </c>
      <c r="C56" s="334">
        <v>43891</v>
      </c>
      <c r="D56" s="286">
        <v>25000</v>
      </c>
      <c r="E56" s="331">
        <v>2</v>
      </c>
      <c r="F56" s="329">
        <f t="shared" si="11"/>
        <v>50000</v>
      </c>
      <c r="G56" s="330">
        <f t="shared" si="12"/>
        <v>50000</v>
      </c>
      <c r="H56" s="219">
        <v>0</v>
      </c>
      <c r="I56" s="212"/>
      <c r="J56" s="210"/>
      <c r="K56" s="210"/>
      <c r="L56" s="210"/>
      <c r="M56" s="210"/>
      <c r="N56" s="210"/>
      <c r="O56" s="210"/>
      <c r="P56" s="336"/>
      <c r="Q56" s="177"/>
      <c r="R56" s="177"/>
      <c r="S56" s="177"/>
      <c r="T56" s="177"/>
      <c r="U56" s="177"/>
      <c r="V56" s="177"/>
      <c r="W56" s="177"/>
      <c r="X56" s="177"/>
      <c r="Y56" s="177"/>
      <c r="Z56" s="177"/>
      <c r="AA56" s="177"/>
      <c r="AB56" s="177"/>
      <c r="AC56" s="177"/>
      <c r="AD56" s="177"/>
      <c r="AE56" s="177"/>
      <c r="AF56" s="179">
        <v>0.5</v>
      </c>
      <c r="AG56" s="177"/>
      <c r="AH56" s="177"/>
      <c r="AI56" s="179">
        <v>0.4</v>
      </c>
      <c r="AJ56" s="179">
        <v>0.1</v>
      </c>
      <c r="AK56" s="177"/>
      <c r="AL56" s="177"/>
      <c r="AM56" s="177"/>
      <c r="AN56" s="177"/>
      <c r="AO56" s="177"/>
      <c r="AP56" s="177"/>
      <c r="AQ56" s="177"/>
      <c r="AR56" s="177"/>
      <c r="AS56" s="177"/>
      <c r="AT56" s="177"/>
      <c r="AU56" s="177"/>
      <c r="AV56" s="177"/>
      <c r="AW56" s="177"/>
      <c r="AX56" s="177"/>
      <c r="AY56" s="177"/>
      <c r="AZ56" s="177"/>
      <c r="BA56" s="177"/>
      <c r="BB56" s="177"/>
      <c r="BC56" s="177"/>
      <c r="BD56" s="352"/>
      <c r="BE56" s="177"/>
      <c r="BF56" s="177"/>
      <c r="BG56" s="177"/>
      <c r="BH56" s="177"/>
      <c r="BI56" s="177"/>
      <c r="BJ56" s="177"/>
      <c r="BK56" s="177"/>
      <c r="BL56" s="177"/>
      <c r="BM56" s="177"/>
      <c r="BN56" s="177"/>
      <c r="BO56" s="177"/>
    </row>
    <row r="57" spans="1:67" ht="13.75" customHeight="1">
      <c r="A57" s="333" t="s">
        <v>317</v>
      </c>
      <c r="B57" s="294" t="s">
        <v>321</v>
      </c>
      <c r="C57" s="334">
        <v>44256</v>
      </c>
      <c r="D57" s="286">
        <v>35000</v>
      </c>
      <c r="E57" s="192">
        <v>2</v>
      </c>
      <c r="F57" s="221">
        <f t="shared" si="11"/>
        <v>70000</v>
      </c>
      <c r="G57" s="190">
        <f t="shared" si="12"/>
        <v>70000</v>
      </c>
      <c r="H57" s="219">
        <v>0</v>
      </c>
      <c r="I57" s="212"/>
      <c r="J57" s="210"/>
      <c r="K57" s="210"/>
      <c r="L57" s="210"/>
      <c r="M57" s="211">
        <v>0</v>
      </c>
      <c r="N57" s="210"/>
      <c r="O57" s="210"/>
      <c r="P57" s="336"/>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9">
        <v>0.5</v>
      </c>
      <c r="AS57" s="177"/>
      <c r="AT57" s="177"/>
      <c r="AU57" s="179">
        <v>0.4</v>
      </c>
      <c r="AV57" s="179">
        <v>0.1</v>
      </c>
      <c r="AW57" s="177"/>
      <c r="AX57" s="177"/>
      <c r="AY57" s="177"/>
      <c r="AZ57" s="177"/>
      <c r="BA57" s="177"/>
      <c r="BB57" s="177"/>
      <c r="BC57" s="177"/>
      <c r="BD57" s="352"/>
      <c r="BE57" s="177"/>
      <c r="BF57" s="177"/>
      <c r="BG57" s="177"/>
      <c r="BH57" s="177"/>
      <c r="BI57" s="177"/>
      <c r="BJ57" s="177"/>
      <c r="BK57" s="177"/>
      <c r="BL57" s="177"/>
      <c r="BM57" s="177"/>
      <c r="BN57" s="177"/>
      <c r="BO57" s="177"/>
    </row>
    <row r="58" spans="1:67" ht="13.75" customHeight="1">
      <c r="A58" s="333" t="s">
        <v>318</v>
      </c>
      <c r="B58" s="294" t="s">
        <v>319</v>
      </c>
      <c r="C58" s="334">
        <v>44621</v>
      </c>
      <c r="D58" s="286">
        <v>40000</v>
      </c>
      <c r="E58" s="192">
        <v>3</v>
      </c>
      <c r="F58" s="221">
        <f t="shared" si="11"/>
        <v>120000</v>
      </c>
      <c r="G58" s="190">
        <f t="shared" si="12"/>
        <v>120000</v>
      </c>
      <c r="H58" s="219">
        <v>0</v>
      </c>
      <c r="I58" s="212"/>
      <c r="J58" s="210"/>
      <c r="K58" s="210"/>
      <c r="L58" s="211">
        <v>0</v>
      </c>
      <c r="M58" s="210"/>
      <c r="N58" s="210"/>
      <c r="O58" s="210"/>
      <c r="P58" s="336"/>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358">
        <v>0</v>
      </c>
      <c r="BE58" s="177"/>
      <c r="BF58" s="179">
        <v>0.5</v>
      </c>
      <c r="BG58" s="177"/>
      <c r="BH58" s="179">
        <v>0.4</v>
      </c>
      <c r="BI58" s="179">
        <v>0.1</v>
      </c>
      <c r="BJ58" s="177"/>
      <c r="BK58" s="177"/>
      <c r="BL58" s="177"/>
      <c r="BM58" s="177"/>
      <c r="BN58" s="177"/>
      <c r="BO58" s="177"/>
    </row>
    <row r="59" spans="1:67" ht="13.75" customHeight="1">
      <c r="A59" s="333" t="s">
        <v>153</v>
      </c>
      <c r="B59" s="294" t="s">
        <v>322</v>
      </c>
      <c r="C59" s="341">
        <v>43525</v>
      </c>
      <c r="D59" s="286">
        <v>15000</v>
      </c>
      <c r="E59" s="192">
        <v>1</v>
      </c>
      <c r="F59" s="221">
        <f t="shared" si="11"/>
        <v>15000</v>
      </c>
      <c r="G59" s="190">
        <f t="shared" si="12"/>
        <v>15000</v>
      </c>
      <c r="H59" s="218">
        <v>0</v>
      </c>
      <c r="I59" s="212"/>
      <c r="J59" s="210"/>
      <c r="K59" s="210"/>
      <c r="L59" s="210"/>
      <c r="M59" s="210"/>
      <c r="N59" s="210"/>
      <c r="O59" s="210"/>
      <c r="P59" s="336"/>
      <c r="Q59" s="177"/>
      <c r="R59" s="177"/>
      <c r="S59" s="177"/>
      <c r="T59" s="180">
        <v>0</v>
      </c>
      <c r="U59" s="179">
        <v>0.5</v>
      </c>
      <c r="V59" s="177"/>
      <c r="W59" s="178">
        <v>0</v>
      </c>
      <c r="X59" s="179">
        <v>0.4</v>
      </c>
      <c r="Y59" s="179">
        <v>0.1</v>
      </c>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352"/>
      <c r="BE59" s="177"/>
      <c r="BF59" s="177"/>
      <c r="BG59" s="177"/>
      <c r="BH59" s="177"/>
      <c r="BI59" s="177"/>
      <c r="BJ59" s="177"/>
      <c r="BK59" s="177"/>
      <c r="BL59" s="177"/>
      <c r="BM59" s="177"/>
      <c r="BN59" s="177"/>
      <c r="BO59" s="177"/>
    </row>
    <row r="60" spans="1:67" ht="13.75" customHeight="1">
      <c r="A60" s="343" t="s">
        <v>235</v>
      </c>
      <c r="B60" s="294" t="s">
        <v>323</v>
      </c>
      <c r="C60" s="341">
        <v>43891</v>
      </c>
      <c r="D60" s="286">
        <v>30000</v>
      </c>
      <c r="E60" s="192">
        <v>1</v>
      </c>
      <c r="F60" s="221">
        <f t="shared" si="11"/>
        <v>30000</v>
      </c>
      <c r="G60" s="190">
        <f t="shared" si="12"/>
        <v>30000</v>
      </c>
      <c r="H60" s="217">
        <v>0</v>
      </c>
      <c r="I60" s="212"/>
      <c r="J60" s="210"/>
      <c r="K60" s="210"/>
      <c r="L60" s="210"/>
      <c r="M60" s="210"/>
      <c r="N60" s="210"/>
      <c r="O60" s="210"/>
      <c r="P60" s="336"/>
      <c r="Q60" s="177"/>
      <c r="R60" s="177"/>
      <c r="S60" s="177"/>
      <c r="T60" s="177"/>
      <c r="U60" s="177"/>
      <c r="V60" s="177"/>
      <c r="W60" s="177"/>
      <c r="X60" s="177"/>
      <c r="Y60" s="177"/>
      <c r="Z60" s="177"/>
      <c r="AA60" s="177"/>
      <c r="AB60" s="177"/>
      <c r="AC60" s="177"/>
      <c r="AD60" s="177"/>
      <c r="AE60" s="177"/>
      <c r="AF60" s="179">
        <v>0.5</v>
      </c>
      <c r="AG60" s="177"/>
      <c r="AH60" s="177"/>
      <c r="AI60" s="179">
        <v>0.4</v>
      </c>
      <c r="AJ60" s="179">
        <v>0.1</v>
      </c>
      <c r="AK60" s="177"/>
      <c r="AL60" s="177"/>
      <c r="AM60" s="177"/>
      <c r="AN60" s="177"/>
      <c r="AO60" s="177"/>
      <c r="AP60" s="177"/>
      <c r="AQ60" s="177"/>
      <c r="AR60" s="177"/>
      <c r="AS60" s="177"/>
      <c r="AT60" s="177"/>
      <c r="AU60" s="177"/>
      <c r="AV60" s="177"/>
      <c r="AW60" s="177"/>
      <c r="AX60" s="177"/>
      <c r="AY60" s="177"/>
      <c r="AZ60" s="177"/>
      <c r="BA60" s="177"/>
      <c r="BB60" s="177"/>
      <c r="BC60" s="177"/>
      <c r="BD60" s="352"/>
      <c r="BE60" s="177"/>
      <c r="BF60" s="177"/>
      <c r="BG60" s="177"/>
      <c r="BH60" s="177"/>
      <c r="BI60" s="177"/>
      <c r="BJ60" s="177"/>
      <c r="BK60" s="177"/>
      <c r="BL60" s="177"/>
      <c r="BM60" s="177"/>
      <c r="BN60" s="177"/>
      <c r="BO60" s="177"/>
    </row>
    <row r="61" spans="1:67" ht="13.75" customHeight="1">
      <c r="A61" s="332" t="s">
        <v>153</v>
      </c>
      <c r="B61" s="294" t="s">
        <v>324</v>
      </c>
      <c r="C61" s="341">
        <v>43525</v>
      </c>
      <c r="D61" s="286">
        <v>35000</v>
      </c>
      <c r="E61" s="192">
        <v>1</v>
      </c>
      <c r="F61" s="221">
        <f t="shared" si="11"/>
        <v>35000</v>
      </c>
      <c r="G61" s="190">
        <f t="shared" si="12"/>
        <v>35000</v>
      </c>
      <c r="H61" s="216">
        <v>0</v>
      </c>
      <c r="I61" s="215"/>
      <c r="J61" s="210"/>
      <c r="K61" s="210"/>
      <c r="L61" s="210"/>
      <c r="M61" s="210"/>
      <c r="N61" s="210"/>
      <c r="O61" s="210"/>
      <c r="P61" s="336"/>
      <c r="Q61" s="177"/>
      <c r="R61" s="177"/>
      <c r="S61" s="177"/>
      <c r="T61" s="179">
        <v>0.5</v>
      </c>
      <c r="U61" s="177"/>
      <c r="V61" s="177"/>
      <c r="W61" s="179">
        <v>0.4</v>
      </c>
      <c r="X61" s="179">
        <v>0.1</v>
      </c>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352"/>
      <c r="BE61" s="177"/>
      <c r="BF61" s="177"/>
      <c r="BG61" s="177"/>
      <c r="BH61" s="177"/>
      <c r="BI61" s="177"/>
      <c r="BJ61" s="177"/>
      <c r="BK61" s="177"/>
      <c r="BL61" s="177"/>
      <c r="BM61" s="177"/>
      <c r="BN61" s="177"/>
      <c r="BO61" s="177"/>
    </row>
    <row r="62" spans="1:67" ht="13.75" customHeight="1">
      <c r="A62" s="332" t="s">
        <v>317</v>
      </c>
      <c r="B62" s="294" t="s">
        <v>322</v>
      </c>
      <c r="C62" s="341">
        <v>44256</v>
      </c>
      <c r="D62" s="286">
        <v>40000</v>
      </c>
      <c r="E62" s="192">
        <v>1</v>
      </c>
      <c r="F62" s="191">
        <f t="shared" si="11"/>
        <v>40000</v>
      </c>
      <c r="G62" s="190">
        <f t="shared" si="12"/>
        <v>40000</v>
      </c>
      <c r="H62" s="216">
        <v>0</v>
      </c>
      <c r="I62" s="215"/>
      <c r="J62" s="210"/>
      <c r="K62" s="210"/>
      <c r="L62" s="210"/>
      <c r="M62" s="210"/>
      <c r="N62" s="210"/>
      <c r="O62" s="210"/>
      <c r="P62" s="336"/>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80">
        <v>0</v>
      </c>
      <c r="AS62" s="179">
        <v>0.5</v>
      </c>
      <c r="AT62" s="177"/>
      <c r="AU62" s="177"/>
      <c r="AV62" s="179">
        <v>0.4</v>
      </c>
      <c r="AW62" s="179">
        <v>0.1</v>
      </c>
      <c r="AX62" s="177"/>
      <c r="AY62" s="177"/>
      <c r="AZ62" s="177"/>
      <c r="BA62" s="177"/>
      <c r="BB62" s="177"/>
      <c r="BC62" s="177"/>
      <c r="BD62" s="352"/>
      <c r="BE62" s="177"/>
      <c r="BF62" s="177"/>
      <c r="BG62" s="177"/>
      <c r="BH62" s="177"/>
      <c r="BI62" s="177"/>
      <c r="BJ62" s="177"/>
      <c r="BK62" s="177"/>
      <c r="BL62" s="177"/>
      <c r="BM62" s="177"/>
      <c r="BN62" s="177"/>
      <c r="BO62" s="177"/>
    </row>
    <row r="63" spans="1:67" ht="13.75" customHeight="1">
      <c r="A63" s="332"/>
      <c r="B63" s="294" t="s">
        <v>177</v>
      </c>
      <c r="C63" s="280"/>
      <c r="D63" s="208"/>
      <c r="E63" s="192"/>
      <c r="F63" s="191">
        <v>15000</v>
      </c>
      <c r="G63" s="359">
        <v>15000</v>
      </c>
      <c r="H63" s="214">
        <v>0</v>
      </c>
      <c r="I63" s="212"/>
      <c r="J63" s="210"/>
      <c r="K63" s="210"/>
      <c r="L63" s="211">
        <v>1</v>
      </c>
      <c r="M63" s="210"/>
      <c r="N63" s="210"/>
      <c r="O63" s="210"/>
      <c r="P63" s="336"/>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352"/>
      <c r="BE63" s="177"/>
      <c r="BF63" s="177"/>
      <c r="BG63" s="177"/>
      <c r="BH63" s="177"/>
      <c r="BI63" s="177"/>
      <c r="BJ63" s="177"/>
      <c r="BK63" s="177"/>
      <c r="BL63" s="177"/>
      <c r="BM63" s="177"/>
      <c r="BN63" s="177"/>
      <c r="BO63" s="177"/>
    </row>
    <row r="64" spans="1:67" ht="13.75" customHeight="1">
      <c r="A64" s="332" t="s">
        <v>318</v>
      </c>
      <c r="B64" s="294" t="s">
        <v>323</v>
      </c>
      <c r="C64" s="341">
        <v>44621</v>
      </c>
      <c r="D64" s="286">
        <v>30000</v>
      </c>
      <c r="E64" s="192">
        <v>1</v>
      </c>
      <c r="F64" s="191">
        <f>D64*E64</f>
        <v>30000</v>
      </c>
      <c r="G64" s="213">
        <f>F64</f>
        <v>30000</v>
      </c>
      <c r="H64" s="212">
        <v>0</v>
      </c>
      <c r="I64" s="210"/>
      <c r="J64" s="210"/>
      <c r="K64" s="210"/>
      <c r="L64" s="210"/>
      <c r="M64" s="210"/>
      <c r="N64" s="210"/>
      <c r="O64" s="210"/>
      <c r="P64" s="336"/>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355">
        <v>0.5</v>
      </c>
      <c r="BE64" s="177"/>
      <c r="BF64" s="179">
        <v>0.4</v>
      </c>
      <c r="BG64" s="179">
        <v>0.1</v>
      </c>
      <c r="BH64" s="177"/>
      <c r="BI64" s="177"/>
      <c r="BJ64" s="177"/>
      <c r="BK64" s="177"/>
      <c r="BL64" s="177"/>
      <c r="BM64" s="177"/>
      <c r="BN64" s="177"/>
      <c r="BO64" s="177"/>
    </row>
    <row r="65" spans="1:67" ht="13.75" customHeight="1">
      <c r="A65" s="378" t="s">
        <v>145</v>
      </c>
      <c r="B65" s="316" t="s">
        <v>176</v>
      </c>
      <c r="C65" s="320" t="s">
        <v>355</v>
      </c>
      <c r="D65" s="317">
        <v>70000</v>
      </c>
      <c r="E65" s="318">
        <v>1</v>
      </c>
      <c r="F65" s="319">
        <f>D65*E65</f>
        <v>70000</v>
      </c>
      <c r="G65" s="359">
        <f>F65*E86</f>
        <v>62300</v>
      </c>
      <c r="H65" s="212">
        <v>0</v>
      </c>
      <c r="I65" s="212"/>
      <c r="J65" s="211">
        <v>0.55000000000000004</v>
      </c>
      <c r="K65" s="210"/>
      <c r="L65" s="210"/>
      <c r="M65" s="211">
        <v>0.4</v>
      </c>
      <c r="N65" s="211">
        <v>0.05</v>
      </c>
      <c r="O65" s="210"/>
      <c r="P65" s="336"/>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352"/>
      <c r="BE65" s="177"/>
      <c r="BF65" s="177"/>
      <c r="BG65" s="177"/>
      <c r="BH65" s="177"/>
      <c r="BI65" s="177"/>
      <c r="BJ65" s="177"/>
      <c r="BK65" s="177"/>
      <c r="BL65" s="177"/>
      <c r="BM65" s="177"/>
      <c r="BN65" s="177"/>
      <c r="BO65" s="177"/>
    </row>
    <row r="66" spans="1:67" ht="13.75" customHeight="1">
      <c r="A66" s="378"/>
      <c r="B66" s="194" t="s">
        <v>175</v>
      </c>
      <c r="C66" s="320" t="s">
        <v>285</v>
      </c>
      <c r="D66" s="208"/>
      <c r="E66" s="192"/>
      <c r="F66" s="191"/>
      <c r="G66" s="359">
        <v>12000</v>
      </c>
      <c r="H66" s="212">
        <v>0</v>
      </c>
      <c r="I66" s="212"/>
      <c r="J66" s="212"/>
      <c r="K66" s="210"/>
      <c r="L66" s="210"/>
      <c r="M66" s="211">
        <v>0.5</v>
      </c>
      <c r="N66" s="211">
        <v>0.5</v>
      </c>
      <c r="O66" s="210"/>
      <c r="P66" s="336"/>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352"/>
      <c r="BE66" s="177"/>
      <c r="BF66" s="177"/>
      <c r="BG66" s="177"/>
      <c r="BH66" s="177"/>
      <c r="BI66" s="177"/>
      <c r="BJ66" s="177"/>
      <c r="BK66" s="177"/>
      <c r="BL66" s="177"/>
      <c r="BM66" s="177"/>
      <c r="BN66" s="177"/>
      <c r="BO66" s="177"/>
    </row>
    <row r="67" spans="1:67" ht="13.75" customHeight="1">
      <c r="A67" s="378"/>
      <c r="B67" s="194" t="s">
        <v>174</v>
      </c>
      <c r="C67" s="280"/>
      <c r="D67" s="208"/>
      <c r="E67" s="192">
        <v>100</v>
      </c>
      <c r="F67" s="191">
        <v>75</v>
      </c>
      <c r="G67" s="359">
        <f>F67*E67</f>
        <v>7500</v>
      </c>
      <c r="H67" s="197">
        <v>0</v>
      </c>
      <c r="I67" s="196"/>
      <c r="J67" s="196"/>
      <c r="K67" s="196"/>
      <c r="L67" s="196"/>
      <c r="M67" s="196"/>
      <c r="N67" s="203">
        <v>1</v>
      </c>
      <c r="O67" s="196"/>
      <c r="P67" s="33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7"/>
      <c r="BC67" s="177"/>
      <c r="BD67" s="352"/>
      <c r="BE67" s="177"/>
      <c r="BF67" s="177"/>
      <c r="BG67" s="177"/>
      <c r="BH67" s="177"/>
      <c r="BI67" s="177"/>
      <c r="BJ67" s="177"/>
      <c r="BK67" s="177"/>
      <c r="BL67" s="177"/>
      <c r="BM67" s="177"/>
      <c r="BN67" s="177"/>
      <c r="BO67" s="177"/>
    </row>
    <row r="68" spans="1:67" ht="13.75" customHeight="1">
      <c r="A68" s="378"/>
      <c r="B68" s="194" t="s">
        <v>173</v>
      </c>
      <c r="C68" s="280" t="s">
        <v>257</v>
      </c>
      <c r="D68" s="208">
        <v>70</v>
      </c>
      <c r="E68" s="192">
        <v>100</v>
      </c>
      <c r="F68" s="209">
        <f>D68*E68</f>
        <v>7000</v>
      </c>
      <c r="G68" s="359">
        <f>F68*E86</f>
        <v>6230</v>
      </c>
      <c r="H68" s="197">
        <v>0</v>
      </c>
      <c r="I68" s="197"/>
      <c r="J68" s="197"/>
      <c r="K68" s="196"/>
      <c r="L68" s="196"/>
      <c r="M68" s="196"/>
      <c r="N68" s="203">
        <v>1</v>
      </c>
      <c r="O68" s="196"/>
      <c r="P68" s="33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c r="BC68" s="177"/>
      <c r="BD68" s="352"/>
      <c r="BE68" s="177"/>
      <c r="BF68" s="177"/>
      <c r="BG68" s="177"/>
      <c r="BH68" s="177"/>
      <c r="BI68" s="177"/>
      <c r="BJ68" s="177"/>
      <c r="BK68" s="177"/>
      <c r="BL68" s="177"/>
      <c r="BM68" s="177"/>
      <c r="BN68" s="177"/>
      <c r="BO68" s="177"/>
    </row>
    <row r="69" spans="1:67" ht="13.75" customHeight="1">
      <c r="A69" s="378"/>
      <c r="B69" s="194" t="s">
        <v>172</v>
      </c>
      <c r="C69" s="280" t="s">
        <v>258</v>
      </c>
      <c r="D69" s="208">
        <v>75</v>
      </c>
      <c r="E69" s="192">
        <v>30</v>
      </c>
      <c r="F69" s="207">
        <f>D69*E69</f>
        <v>2250</v>
      </c>
      <c r="G69" s="359">
        <f>F69/D86</f>
        <v>2250</v>
      </c>
      <c r="H69" s="188">
        <v>0</v>
      </c>
      <c r="I69" s="188"/>
      <c r="J69" s="188"/>
      <c r="K69" s="186"/>
      <c r="L69" s="186"/>
      <c r="M69" s="186"/>
      <c r="N69" s="206">
        <v>1</v>
      </c>
      <c r="O69" s="196"/>
      <c r="P69" s="33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352"/>
      <c r="BE69" s="177"/>
      <c r="BF69" s="177"/>
      <c r="BG69" s="177"/>
      <c r="BH69" s="177"/>
      <c r="BI69" s="177"/>
      <c r="BJ69" s="177"/>
      <c r="BK69" s="177"/>
      <c r="BL69" s="177"/>
      <c r="BM69" s="177"/>
      <c r="BN69" s="177"/>
      <c r="BO69" s="177"/>
    </row>
    <row r="70" spans="1:67" ht="13.75" customHeight="1">
      <c r="A70" s="332" t="s">
        <v>329</v>
      </c>
      <c r="B70" s="346" t="s">
        <v>328</v>
      </c>
      <c r="C70" s="295" t="s">
        <v>327</v>
      </c>
      <c r="D70" s="344">
        <v>150000</v>
      </c>
      <c r="E70" s="345">
        <v>1</v>
      </c>
      <c r="F70" s="294">
        <f>D70*E70</f>
        <v>150000</v>
      </c>
      <c r="G70" s="305">
        <f>F70*E86</f>
        <v>133500</v>
      </c>
      <c r="H70" s="205">
        <v>0</v>
      </c>
      <c r="I70" s="205"/>
      <c r="J70" s="205"/>
      <c r="K70" s="205"/>
      <c r="L70" s="205"/>
      <c r="M70" s="205"/>
      <c r="N70" s="205"/>
      <c r="O70" s="204">
        <v>0</v>
      </c>
      <c r="P70" s="337"/>
      <c r="Q70" s="177"/>
      <c r="R70" s="177"/>
      <c r="S70" s="177"/>
      <c r="T70" s="177"/>
      <c r="U70" s="177"/>
      <c r="V70" s="177"/>
      <c r="W70" s="177"/>
      <c r="X70" s="177"/>
      <c r="Y70" s="177"/>
      <c r="Z70" s="177"/>
      <c r="AA70" s="177"/>
      <c r="AB70" s="177"/>
      <c r="AC70" s="177"/>
      <c r="AD70" s="179">
        <v>0.4</v>
      </c>
      <c r="AE70" s="177"/>
      <c r="AF70" s="177"/>
      <c r="AG70" s="177"/>
      <c r="AH70" s="179">
        <v>0.5</v>
      </c>
      <c r="AI70" s="179">
        <v>0.1</v>
      </c>
      <c r="AJ70" s="177"/>
      <c r="AK70" s="177"/>
      <c r="AL70" s="177"/>
      <c r="AM70" s="177"/>
      <c r="AN70" s="177"/>
      <c r="AO70" s="177"/>
      <c r="AP70" s="177"/>
      <c r="AQ70" s="177"/>
      <c r="AR70" s="177"/>
      <c r="AS70" s="177"/>
      <c r="AT70" s="177"/>
      <c r="AU70" s="177"/>
      <c r="AV70" s="177"/>
      <c r="AW70" s="177"/>
      <c r="AX70" s="177"/>
      <c r="AY70" s="177"/>
      <c r="AZ70" s="177"/>
      <c r="BA70" s="177"/>
      <c r="BB70" s="177"/>
      <c r="BC70" s="177"/>
      <c r="BD70" s="352"/>
      <c r="BE70" s="177"/>
      <c r="BF70" s="177"/>
      <c r="BG70" s="177"/>
      <c r="BH70" s="177"/>
      <c r="BI70" s="177"/>
      <c r="BJ70" s="177"/>
      <c r="BK70" s="177"/>
      <c r="BL70" s="177"/>
      <c r="BM70" s="177"/>
      <c r="BN70" s="177"/>
      <c r="BO70" s="177"/>
    </row>
    <row r="71" spans="1:67" ht="13.75" customHeight="1">
      <c r="A71" s="195"/>
      <c r="B71" s="194" t="s">
        <v>171</v>
      </c>
      <c r="C71" s="280" t="s">
        <v>259</v>
      </c>
      <c r="D71" s="193"/>
      <c r="E71" s="192"/>
      <c r="F71" s="191">
        <v>12000</v>
      </c>
      <c r="G71" s="190">
        <v>12000</v>
      </c>
      <c r="H71" s="202">
        <v>0</v>
      </c>
      <c r="I71" s="201"/>
      <c r="J71" s="201"/>
      <c r="K71" s="200">
        <v>1</v>
      </c>
      <c r="L71" s="199"/>
      <c r="M71" s="199"/>
      <c r="N71" s="199"/>
      <c r="O71" s="196"/>
      <c r="P71" s="33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77"/>
      <c r="BC71" s="177"/>
      <c r="BD71" s="352"/>
      <c r="BE71" s="177"/>
      <c r="BF71" s="177"/>
      <c r="BG71" s="177"/>
      <c r="BH71" s="177"/>
      <c r="BI71" s="177"/>
      <c r="BJ71" s="177"/>
      <c r="BK71" s="177"/>
      <c r="BL71" s="177"/>
      <c r="BM71" s="177"/>
      <c r="BN71" s="177"/>
      <c r="BO71" s="177"/>
    </row>
    <row r="72" spans="1:67" ht="13.75" customHeight="1">
      <c r="A72" s="195"/>
      <c r="B72" s="294" t="s">
        <v>170</v>
      </c>
      <c r="C72" s="295" t="s">
        <v>356</v>
      </c>
      <c r="D72" s="296"/>
      <c r="E72" s="297"/>
      <c r="F72" s="298">
        <v>0</v>
      </c>
      <c r="G72" s="213">
        <f>F72</f>
        <v>0</v>
      </c>
      <c r="H72" s="198">
        <v>0</v>
      </c>
      <c r="I72" s="196"/>
      <c r="J72" s="197"/>
      <c r="K72" s="187">
        <v>1</v>
      </c>
      <c r="L72" s="186"/>
      <c r="M72" s="186"/>
      <c r="N72" s="186"/>
      <c r="O72" s="196"/>
      <c r="P72" s="33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352"/>
      <c r="BE72" s="177"/>
      <c r="BF72" s="177"/>
      <c r="BG72" s="177"/>
      <c r="BH72" s="177"/>
      <c r="BI72" s="177"/>
      <c r="BJ72" s="177"/>
      <c r="BK72" s="177"/>
      <c r="BL72" s="177"/>
      <c r="BM72" s="177"/>
      <c r="BN72" s="177"/>
      <c r="BO72" s="177"/>
    </row>
    <row r="73" spans="1:67" ht="13.75" customHeight="1">
      <c r="A73" s="195" t="s">
        <v>169</v>
      </c>
      <c r="B73" s="194" t="s">
        <v>168</v>
      </c>
      <c r="C73" s="280"/>
      <c r="D73" s="193"/>
      <c r="E73" s="192"/>
      <c r="F73" s="191" t="s">
        <v>21</v>
      </c>
      <c r="G73" s="190">
        <v>2500</v>
      </c>
      <c r="H73" s="198">
        <v>0</v>
      </c>
      <c r="I73" s="196"/>
      <c r="J73" s="311"/>
      <c r="K73" s="178"/>
      <c r="L73" s="178"/>
      <c r="M73" s="179">
        <v>1</v>
      </c>
      <c r="N73" s="178"/>
      <c r="O73" s="310"/>
      <c r="P73" s="33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352"/>
      <c r="BE73" s="177"/>
      <c r="BF73" s="177"/>
      <c r="BG73" s="177"/>
      <c r="BH73" s="177"/>
      <c r="BI73" s="177"/>
      <c r="BJ73" s="177"/>
      <c r="BK73" s="177"/>
      <c r="BL73" s="177"/>
      <c r="BM73" s="177"/>
      <c r="BN73" s="177"/>
      <c r="BO73" s="177"/>
    </row>
    <row r="74" spans="1:67" ht="13.75" customHeight="1">
      <c r="A74" s="195"/>
      <c r="B74" s="194" t="s">
        <v>167</v>
      </c>
      <c r="C74" s="280"/>
      <c r="D74" s="193"/>
      <c r="E74" s="192"/>
      <c r="F74" s="191"/>
      <c r="G74" s="190">
        <v>3000</v>
      </c>
      <c r="H74" s="198">
        <v>0</v>
      </c>
      <c r="I74" s="196"/>
      <c r="J74" s="311"/>
      <c r="K74" s="178"/>
      <c r="L74" s="178"/>
      <c r="M74" s="179">
        <v>1</v>
      </c>
      <c r="N74" s="178"/>
      <c r="O74" s="310"/>
      <c r="P74" s="33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352"/>
      <c r="BE74" s="177"/>
      <c r="BF74" s="177"/>
      <c r="BG74" s="177"/>
      <c r="BH74" s="177"/>
      <c r="BI74" s="177"/>
      <c r="BJ74" s="177"/>
      <c r="BK74" s="177"/>
      <c r="BL74" s="177"/>
      <c r="BM74" s="177"/>
      <c r="BN74" s="177"/>
      <c r="BO74" s="177"/>
    </row>
    <row r="75" spans="1:67" ht="13.75" customHeight="1">
      <c r="A75" s="195"/>
      <c r="B75" s="194" t="s">
        <v>166</v>
      </c>
      <c r="C75" s="280"/>
      <c r="D75" s="193"/>
      <c r="E75" s="192"/>
      <c r="F75" s="191" t="s">
        <v>21</v>
      </c>
      <c r="G75" s="190">
        <v>1000</v>
      </c>
      <c r="H75" s="198">
        <v>0</v>
      </c>
      <c r="I75" s="196"/>
      <c r="J75" s="311"/>
      <c r="K75" s="178"/>
      <c r="L75" s="178"/>
      <c r="M75" s="179">
        <v>1</v>
      </c>
      <c r="N75" s="178"/>
      <c r="O75" s="310"/>
      <c r="P75" s="33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352"/>
      <c r="BE75" s="177"/>
      <c r="BF75" s="177"/>
      <c r="BG75" s="177"/>
      <c r="BH75" s="177"/>
      <c r="BI75" s="177"/>
      <c r="BJ75" s="177"/>
      <c r="BK75" s="177"/>
      <c r="BL75" s="177"/>
      <c r="BM75" s="177"/>
      <c r="BN75" s="177"/>
      <c r="BO75" s="177"/>
    </row>
    <row r="76" spans="1:67" ht="13.75" customHeight="1">
      <c r="A76" s="195"/>
      <c r="B76" s="194" t="s">
        <v>165</v>
      </c>
      <c r="C76" s="280" t="s">
        <v>21</v>
      </c>
      <c r="D76" s="193"/>
      <c r="E76" s="192"/>
      <c r="F76" s="191" t="s">
        <v>21</v>
      </c>
      <c r="G76" s="190">
        <v>0</v>
      </c>
      <c r="H76" s="198">
        <v>0</v>
      </c>
      <c r="I76" s="196"/>
      <c r="J76" s="311"/>
      <c r="K76" s="178"/>
      <c r="L76" s="178"/>
      <c r="M76" s="179">
        <v>1</v>
      </c>
      <c r="N76" s="178"/>
      <c r="O76" s="310"/>
      <c r="P76" s="33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352"/>
      <c r="BE76" s="177"/>
      <c r="BF76" s="177"/>
      <c r="BG76" s="177"/>
      <c r="BH76" s="177"/>
      <c r="BI76" s="177"/>
      <c r="BJ76" s="177"/>
      <c r="BK76" s="177"/>
      <c r="BL76" s="177"/>
      <c r="BM76" s="177"/>
      <c r="BN76" s="177"/>
      <c r="BO76" s="177"/>
    </row>
    <row r="77" spans="1:67" ht="13.75" customHeight="1">
      <c r="A77" s="195"/>
      <c r="B77" s="194" t="s">
        <v>164</v>
      </c>
      <c r="C77" s="280" t="s">
        <v>21</v>
      </c>
      <c r="D77" s="193"/>
      <c r="E77" s="192"/>
      <c r="F77" s="191">
        <v>500</v>
      </c>
      <c r="G77" s="190">
        <v>0</v>
      </c>
      <c r="H77" s="198">
        <v>0</v>
      </c>
      <c r="I77" s="196"/>
      <c r="J77" s="311"/>
      <c r="K77" s="178"/>
      <c r="L77" s="178"/>
      <c r="M77" s="179">
        <v>1</v>
      </c>
      <c r="N77" s="178"/>
      <c r="O77" s="310"/>
      <c r="P77" s="33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352"/>
      <c r="BE77" s="177"/>
      <c r="BF77" s="177"/>
      <c r="BG77" s="177"/>
      <c r="BH77" s="177"/>
      <c r="BI77" s="177"/>
      <c r="BJ77" s="177"/>
      <c r="BK77" s="177"/>
      <c r="BL77" s="177"/>
      <c r="BM77" s="177"/>
      <c r="BN77" s="177"/>
      <c r="BO77" s="177"/>
    </row>
    <row r="78" spans="1:67" ht="13.75" customHeight="1">
      <c r="A78" s="195"/>
      <c r="B78" s="194" t="s">
        <v>163</v>
      </c>
      <c r="C78" s="280" t="s">
        <v>21</v>
      </c>
      <c r="D78" s="193"/>
      <c r="E78" s="192"/>
      <c r="F78" s="191">
        <v>400</v>
      </c>
      <c r="G78" s="190">
        <v>0</v>
      </c>
      <c r="H78" s="198">
        <v>0</v>
      </c>
      <c r="I78" s="196"/>
      <c r="J78" s="311"/>
      <c r="K78" s="178"/>
      <c r="L78" s="178"/>
      <c r="M78" s="179">
        <v>1</v>
      </c>
      <c r="N78" s="178"/>
      <c r="O78" s="310"/>
      <c r="P78" s="33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7"/>
      <c r="BD78" s="352"/>
      <c r="BE78" s="177"/>
      <c r="BF78" s="177"/>
      <c r="BG78" s="177"/>
      <c r="BH78" s="177"/>
      <c r="BI78" s="177"/>
      <c r="BJ78" s="177"/>
      <c r="BK78" s="177"/>
      <c r="BL78" s="177"/>
      <c r="BM78" s="177"/>
      <c r="BN78" s="177"/>
      <c r="BO78" s="177"/>
    </row>
    <row r="79" spans="1:67" ht="13.75" customHeight="1">
      <c r="A79" s="195"/>
      <c r="B79" s="194" t="s">
        <v>162</v>
      </c>
      <c r="C79" s="280"/>
      <c r="D79" s="193"/>
      <c r="E79" s="192"/>
      <c r="F79" s="191">
        <v>600</v>
      </c>
      <c r="G79" s="190">
        <f>F79</f>
        <v>600</v>
      </c>
      <c r="H79" s="189">
        <v>0</v>
      </c>
      <c r="I79" s="186"/>
      <c r="J79" s="312"/>
      <c r="K79" s="178"/>
      <c r="L79" s="178"/>
      <c r="M79" s="179">
        <v>1</v>
      </c>
      <c r="N79" s="178"/>
      <c r="O79" s="314"/>
      <c r="P79" s="339"/>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352"/>
      <c r="BE79" s="177"/>
      <c r="BF79" s="177"/>
      <c r="BG79" s="177"/>
      <c r="BH79" s="177"/>
      <c r="BI79" s="177"/>
      <c r="BJ79" s="177"/>
      <c r="BK79" s="177"/>
      <c r="BL79" s="177"/>
      <c r="BM79" s="177"/>
      <c r="BN79" s="177"/>
      <c r="BO79" s="177"/>
    </row>
    <row r="80" spans="1:67" ht="13.75" customHeight="1">
      <c r="A80" s="195"/>
      <c r="B80" s="306" t="s">
        <v>281</v>
      </c>
      <c r="C80" s="307" t="s">
        <v>282</v>
      </c>
      <c r="D80" s="306"/>
      <c r="E80" s="306"/>
      <c r="F80" s="306"/>
      <c r="G80" s="305">
        <v>25000</v>
      </c>
      <c r="H80" s="303"/>
      <c r="I80" s="302"/>
      <c r="J80" s="304"/>
      <c r="K80" s="178"/>
      <c r="L80" s="178"/>
      <c r="M80" s="179">
        <v>1</v>
      </c>
      <c r="N80" s="178"/>
      <c r="O80" s="302"/>
      <c r="P80" s="302"/>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352"/>
      <c r="BE80" s="177"/>
      <c r="BF80" s="177"/>
      <c r="BG80" s="177"/>
      <c r="BH80" s="177"/>
      <c r="BI80" s="177"/>
      <c r="BJ80" s="177"/>
      <c r="BK80" s="177"/>
      <c r="BL80" s="177"/>
      <c r="BM80" s="177"/>
      <c r="BN80" s="177"/>
      <c r="BO80" s="177"/>
    </row>
    <row r="81" spans="1:67" ht="13.75" customHeight="1">
      <c r="C81" s="308" t="s">
        <v>283</v>
      </c>
      <c r="F81" s="309" t="s">
        <v>284</v>
      </c>
      <c r="G81" s="185">
        <f>SUM(G5:G80)</f>
        <v>1174461</v>
      </c>
      <c r="H81" s="181">
        <v>0</v>
      </c>
      <c r="I81" s="177"/>
      <c r="J81" s="313" t="s">
        <v>21</v>
      </c>
      <c r="K81" s="177"/>
      <c r="L81" s="177"/>
      <c r="M81" s="177"/>
      <c r="N81" s="177"/>
      <c r="O81" s="315"/>
      <c r="P81" s="340"/>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352"/>
      <c r="BE81" s="177"/>
      <c r="BF81" s="177"/>
      <c r="BG81" s="177"/>
      <c r="BH81" s="177"/>
      <c r="BI81" s="177"/>
      <c r="BJ81" s="177"/>
      <c r="BK81" s="177"/>
      <c r="BL81" s="177"/>
      <c r="BM81" s="177"/>
      <c r="BN81" s="177"/>
      <c r="BO81" s="177"/>
    </row>
    <row r="82" spans="1:67" ht="13.75" customHeight="1">
      <c r="B82" s="183" t="s">
        <v>161</v>
      </c>
      <c r="C82" s="285" t="s">
        <v>260</v>
      </c>
      <c r="D82" s="183"/>
      <c r="E82" s="183"/>
      <c r="F82" s="182">
        <v>0.05</v>
      </c>
      <c r="G82" s="292">
        <f>G81*F82</f>
        <v>58723.05</v>
      </c>
      <c r="H82" s="181">
        <v>0</v>
      </c>
      <c r="I82" s="180">
        <v>0</v>
      </c>
      <c r="J82" s="180"/>
      <c r="K82" s="178"/>
      <c r="L82" s="179">
        <v>0.25</v>
      </c>
      <c r="M82" s="179">
        <v>0.25</v>
      </c>
      <c r="N82" s="179">
        <v>0.25</v>
      </c>
      <c r="O82" s="179">
        <v>0.25</v>
      </c>
      <c r="P82" s="178"/>
    </row>
    <row r="83" spans="1:67" ht="13.75" customHeight="1">
      <c r="G83" s="169"/>
      <c r="H83" s="373"/>
      <c r="I83" s="373"/>
      <c r="J83" s="373"/>
      <c r="K83" s="373"/>
      <c r="L83" s="373"/>
      <c r="M83" s="373"/>
      <c r="N83" s="373"/>
      <c r="O83" s="373"/>
      <c r="P83" s="373"/>
    </row>
    <row r="84" spans="1:67" ht="13.75" customHeight="1">
      <c r="A84" s="370">
        <v>43102</v>
      </c>
      <c r="B84" s="169" t="s">
        <v>160</v>
      </c>
      <c r="E84" s="174" t="s">
        <v>159</v>
      </c>
      <c r="G84" s="176">
        <f>SUM(G81:G82)</f>
        <v>1233184.05</v>
      </c>
      <c r="H84" s="175">
        <f>($G$5*H5)+($G$6*H6)+($G$7*H7)+($G$8*H8)+($G$9*H9)+($G$10*H10)+($G$11*H11)+($G$12*H12)+($G$13*H13)+($G$14*H14)+($G$15*H15)+($G$16*H16)+($G$17*H17)+($G$18*H18)+($G$19*H19)+($G$20*H20)+($G$21*H21)+($G$22*H22)+($G$23*H23)+($G$24*H24)+($G$25*H25)+($G$26*H26)+($G$27*H27)+($G$28*H28)+($G$29*H29)+($G$30*H30)+($G$31*H31)+($G$32*H32)+($G$33*H33)+($G$34*H34)+($G$35*H35)+($G$36*H36)+($G$37*H37)+($G$38*H38)+($G$39*H39)+($G$40*H40)+($G$41*H41)+($G$42*H42)+($G$43*H43)+($G$44*H44)+($G$45*H45)+($G$46*H46)+($G$47*H47)+($G$48*H48)+($G$49*H49)+($G$50*H50)+($G$51*H51)+($G$52*H52)+($G$53*H53)+($G$54*H54)+($G$55*H55)+($G$56*H56)+($G$57*H57)+($G$58*H58)+($G$59*H59)+($G$60*H60)+($G$61*H61)+($G$62*H62)+($G$63*H63)+($G$64*H64)+($G$65*H65)+($G$66*H66)+($G$67*H67)+($G$68*H68)+($G$69*H69)+($G$70*H70)+($G$71*H71)+($G$72*H72)+($G$73*H73)+($G$74*H74)+($G$75*H75)+($G$76*H76)+($G$77*H77)+($G$78*H78)+($G$79*H79)+($G$82*H82)</f>
        <v>94832.4</v>
      </c>
      <c r="I84" s="175">
        <f t="shared" ref="I84:BO84" si="13">($G$5*I5)+($G$6*I6)+($G$7*I7)+($G$8*I8)+($G$9*I9)+($G$10*I10)+($G$11*I11)+($G$12*I12)+($G$13*I13)+($G$14*I14)+($G$15*I15)+($G$16*I16)+($G$17*I17)+($G$18*I18)+($G$19*I19)+($G$20*I20)+($G$21*I21)+($G$22*I22)+($G$23*I23)+($G$24*I24)+($G$25*I25)+($G$26*I26)+($G$27*I27)+($G$28*I28)+($G$29*I29)+($G$30*I30)+($G$31*I31)+($G$32*I32)+($G$33*I33)+($G$34*I34)+($G$35*I35)+($G$36*I36)+($G$37*I37)+($G$38*I38)+($G$39*I39)+($G$40*I40)+($G$41*I41)+($G$42*I42)+($G$43*I43)+($G$44*I44)+($G$45*I45)+($G$46*I46)+($G$47*I47)+($G$48*I48)+($G$49*I49)+($G$50*I50)+($G$51*I51)+($G$52*I52)+($G$53*I53)+($G$54*I54)+($G$55*I55)+($G$56*I56)+($G$57*I57)+($G$58*I58)+($G$59*I59)+($G$60*I60)+($G$61*I61)+($G$62*I62)+($G$63*I63)+($G$64*I64)+($G$65*I65)+($G$66*I66)+($G$67*I67)+($G$68*I68)+($G$69*I69)+($G$70*I70)+($G$71*I71)+($G$72*I72)+($G$73*I73)+($G$74*I74)+($G$75*I75)+($G$76*I76)+($G$77*I77)+($G$78*I78)+($G$79*I79)+($G$82*I82)</f>
        <v>47500</v>
      </c>
      <c r="J84" s="175">
        <f t="shared" si="13"/>
        <v>65765</v>
      </c>
      <c r="K84" s="175">
        <f t="shared" si="13"/>
        <v>164969.55000000002</v>
      </c>
      <c r="L84" s="175">
        <f t="shared" si="13"/>
        <v>57680.762499999997</v>
      </c>
      <c r="M84" s="175">
        <f t="shared" si="13"/>
        <v>158888.1925</v>
      </c>
      <c r="N84" s="175">
        <f t="shared" si="13"/>
        <v>43367.3825</v>
      </c>
      <c r="O84" s="175">
        <f t="shared" si="13"/>
        <v>14680.762500000001</v>
      </c>
      <c r="P84" s="175">
        <f t="shared" si="13"/>
        <v>0</v>
      </c>
      <c r="Q84" s="175">
        <f t="shared" si="13"/>
        <v>0</v>
      </c>
      <c r="R84" s="175">
        <f t="shared" si="13"/>
        <v>0</v>
      </c>
      <c r="S84" s="175">
        <f t="shared" si="13"/>
        <v>0</v>
      </c>
      <c r="T84" s="175">
        <f t="shared" si="13"/>
        <v>30000</v>
      </c>
      <c r="U84" s="175">
        <f t="shared" si="13"/>
        <v>7500</v>
      </c>
      <c r="V84" s="175">
        <f t="shared" si="13"/>
        <v>0</v>
      </c>
      <c r="W84" s="175">
        <f t="shared" si="13"/>
        <v>36000</v>
      </c>
      <c r="X84" s="175">
        <f t="shared" si="13"/>
        <v>12000</v>
      </c>
      <c r="Y84" s="175">
        <f t="shared" si="13"/>
        <v>1500</v>
      </c>
      <c r="Z84" s="175">
        <f t="shared" si="13"/>
        <v>0</v>
      </c>
      <c r="AA84" s="175">
        <f t="shared" si="13"/>
        <v>0</v>
      </c>
      <c r="AB84" s="175">
        <f t="shared" si="13"/>
        <v>0</v>
      </c>
      <c r="AC84" s="175">
        <f t="shared" si="13"/>
        <v>0</v>
      </c>
      <c r="AD84" s="175">
        <f t="shared" si="13"/>
        <v>53400</v>
      </c>
      <c r="AE84" s="175">
        <f t="shared" si="13"/>
        <v>0</v>
      </c>
      <c r="AF84" s="175">
        <f t="shared" si="13"/>
        <v>40000</v>
      </c>
      <c r="AG84" s="175">
        <f t="shared" si="13"/>
        <v>0</v>
      </c>
      <c r="AH84" s="175">
        <f t="shared" si="13"/>
        <v>66750</v>
      </c>
      <c r="AI84" s="175">
        <f t="shared" si="13"/>
        <v>45350</v>
      </c>
      <c r="AJ84" s="175">
        <f t="shared" si="13"/>
        <v>8000</v>
      </c>
      <c r="AK84" s="175">
        <f t="shared" si="13"/>
        <v>0</v>
      </c>
      <c r="AL84" s="175">
        <f t="shared" si="13"/>
        <v>0</v>
      </c>
      <c r="AM84" s="175">
        <f t="shared" si="13"/>
        <v>0</v>
      </c>
      <c r="AN84" s="175">
        <f t="shared" si="13"/>
        <v>0</v>
      </c>
      <c r="AO84" s="175">
        <f t="shared" si="13"/>
        <v>0</v>
      </c>
      <c r="AP84" s="175">
        <f t="shared" si="13"/>
        <v>0</v>
      </c>
      <c r="AQ84" s="175">
        <f t="shared" si="13"/>
        <v>0</v>
      </c>
      <c r="AR84" s="175">
        <f t="shared" si="13"/>
        <v>35000</v>
      </c>
      <c r="AS84" s="175">
        <f t="shared" si="13"/>
        <v>20000</v>
      </c>
      <c r="AT84" s="175">
        <f t="shared" si="13"/>
        <v>0</v>
      </c>
      <c r="AU84" s="175">
        <f t="shared" si="13"/>
        <v>28000</v>
      </c>
      <c r="AV84" s="175">
        <f t="shared" si="13"/>
        <v>23000</v>
      </c>
      <c r="AW84" s="175">
        <f t="shared" si="13"/>
        <v>4000</v>
      </c>
      <c r="AX84" s="175">
        <f t="shared" si="13"/>
        <v>0</v>
      </c>
      <c r="AY84" s="175">
        <f t="shared" si="13"/>
        <v>0</v>
      </c>
      <c r="AZ84" s="175">
        <f t="shared" si="13"/>
        <v>0</v>
      </c>
      <c r="BA84" s="175">
        <f t="shared" si="13"/>
        <v>0</v>
      </c>
      <c r="BB84" s="175">
        <f t="shared" si="13"/>
        <v>0</v>
      </c>
      <c r="BC84" s="175">
        <f t="shared" si="13"/>
        <v>0</v>
      </c>
      <c r="BD84" s="175">
        <f t="shared" si="13"/>
        <v>15000</v>
      </c>
      <c r="BE84" s="175">
        <f t="shared" si="13"/>
        <v>0</v>
      </c>
      <c r="BF84" s="175">
        <f t="shared" si="13"/>
        <v>72000</v>
      </c>
      <c r="BG84" s="175">
        <f t="shared" si="13"/>
        <v>3000</v>
      </c>
      <c r="BH84" s="175">
        <f t="shared" si="13"/>
        <v>48000</v>
      </c>
      <c r="BI84" s="175">
        <f t="shared" si="13"/>
        <v>12000</v>
      </c>
      <c r="BJ84" s="175">
        <f t="shared" si="13"/>
        <v>0</v>
      </c>
      <c r="BK84" s="175">
        <f t="shared" si="13"/>
        <v>0</v>
      </c>
      <c r="BL84" s="175">
        <f t="shared" si="13"/>
        <v>0</v>
      </c>
      <c r="BM84" s="175">
        <f t="shared" si="13"/>
        <v>0</v>
      </c>
      <c r="BN84" s="175">
        <f t="shared" si="13"/>
        <v>0</v>
      </c>
      <c r="BO84" s="175">
        <f t="shared" si="13"/>
        <v>0</v>
      </c>
    </row>
    <row r="85" spans="1:67" ht="13.75" customHeight="1" thickBot="1">
      <c r="A85" s="371"/>
      <c r="B85" s="169" t="s">
        <v>158</v>
      </c>
      <c r="D85" s="169">
        <v>1</v>
      </c>
      <c r="E85" s="174">
        <v>0.77600000000000002</v>
      </c>
      <c r="H85" s="173"/>
      <c r="I85" s="173"/>
      <c r="J85" s="173"/>
      <c r="K85" s="173"/>
      <c r="L85" s="173"/>
      <c r="M85" s="173"/>
      <c r="N85" s="173"/>
      <c r="O85" s="173"/>
      <c r="P85" s="173"/>
    </row>
    <row r="86" spans="1:67" ht="13.75" customHeight="1" thickBot="1">
      <c r="A86" s="371"/>
      <c r="B86" s="169" t="s">
        <v>157</v>
      </c>
      <c r="D86" s="169">
        <v>1</v>
      </c>
      <c r="E86" s="172">
        <v>0.89</v>
      </c>
      <c r="H86" s="374">
        <f>SUM(H84:BO84)</f>
        <v>1208184.0499999998</v>
      </c>
      <c r="I86" s="374"/>
      <c r="J86" s="374"/>
      <c r="K86" s="374"/>
      <c r="L86" s="374"/>
      <c r="M86" s="374"/>
      <c r="N86" s="374"/>
      <c r="O86" s="374"/>
      <c r="P86" s="374"/>
    </row>
    <row r="87" spans="1:67" ht="13.75" customHeight="1">
      <c r="G87" s="171" t="s">
        <v>131</v>
      </c>
      <c r="H87" s="374"/>
      <c r="I87" s="374"/>
      <c r="J87" s="374"/>
      <c r="K87" s="374"/>
      <c r="L87" s="374"/>
      <c r="M87" s="374"/>
      <c r="N87" s="374"/>
      <c r="O87" s="374"/>
      <c r="P87" s="374"/>
    </row>
    <row r="88" spans="1:67">
      <c r="L88" s="369" t="s">
        <v>21</v>
      </c>
      <c r="M88" s="369"/>
      <c r="N88" s="369"/>
    </row>
  </sheetData>
  <sheetProtection algorithmName="SHA-512" hashValue="hKWsu/R078+OmXIv7MOve3lUjy2gKiU4vQXGyRgQT82KoyzGDamFiU/ssj2wObnH5e7JjYY5Tx2BDOuA2OTniw==" saltValue="jmQ/C+S3E5yakgwWTJXQOg==" spinCount="100000" sheet="1" objects="1" scenarios="1" selectLockedCells="1" selectUnlockedCells="1"/>
  <mergeCells count="12">
    <mergeCell ref="AF2:AQ3"/>
    <mergeCell ref="T2:AE3"/>
    <mergeCell ref="AR2:BC3"/>
    <mergeCell ref="BD2:BO3"/>
    <mergeCell ref="H1:S2"/>
    <mergeCell ref="L88:N88"/>
    <mergeCell ref="A84:A86"/>
    <mergeCell ref="A1:F3"/>
    <mergeCell ref="H83:P83"/>
    <mergeCell ref="H86:P87"/>
    <mergeCell ref="D5:F17"/>
    <mergeCell ref="A65:A69"/>
  </mergeCells>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9"/>
  <sheetViews>
    <sheetView zoomScale="141" zoomScaleNormal="141" workbookViewId="0">
      <selection activeCell="B4" sqref="B4"/>
    </sheetView>
  </sheetViews>
  <sheetFormatPr baseColWidth="10" defaultColWidth="8.83203125" defaultRowHeight="12"/>
  <cols>
    <col min="1" max="1" width="14" style="14" customWidth="1"/>
    <col min="2" max="2" width="43" style="14" customWidth="1"/>
    <col min="3" max="3" width="14.6640625" style="15" customWidth="1"/>
    <col min="4" max="4" width="15.83203125" style="15" customWidth="1"/>
    <col min="5" max="5" width="16.33203125" style="15" customWidth="1"/>
    <col min="6" max="6" width="17.1640625" style="15" customWidth="1"/>
    <col min="7" max="7" width="17.83203125" style="15" customWidth="1"/>
    <col min="8" max="8" width="12.5" style="53" customWidth="1"/>
    <col min="9" max="10" width="8.83203125" style="53"/>
    <col min="11" max="13" width="8.83203125" style="54"/>
    <col min="14" max="14" width="22.5" style="54" customWidth="1"/>
    <col min="15" max="16384" width="8.83203125" style="14"/>
  </cols>
  <sheetData>
    <row r="1" spans="1:14">
      <c r="A1" s="79"/>
      <c r="B1" s="79"/>
      <c r="C1" s="80"/>
      <c r="D1" s="80"/>
      <c r="E1" s="80"/>
      <c r="F1" s="81" t="s">
        <v>21</v>
      </c>
      <c r="G1" s="81" t="s">
        <v>21</v>
      </c>
      <c r="H1" s="82" t="s">
        <v>21</v>
      </c>
      <c r="I1" s="82"/>
      <c r="J1" s="82"/>
      <c r="K1" s="83"/>
      <c r="L1" s="83"/>
      <c r="M1" s="83"/>
      <c r="N1" s="83"/>
    </row>
    <row r="2" spans="1:14" ht="14">
      <c r="A2" s="79"/>
      <c r="B2" s="79"/>
      <c r="C2" s="84" t="s">
        <v>22</v>
      </c>
      <c r="D2" s="84" t="s">
        <v>23</v>
      </c>
      <c r="E2" s="84" t="s">
        <v>24</v>
      </c>
      <c r="F2" s="84" t="s">
        <v>25</v>
      </c>
      <c r="G2" s="84" t="s">
        <v>26</v>
      </c>
      <c r="H2" s="404" t="s">
        <v>98</v>
      </c>
      <c r="I2" s="404"/>
      <c r="J2" s="404"/>
      <c r="K2" s="404"/>
      <c r="L2" s="404"/>
      <c r="M2" s="404"/>
      <c r="N2" s="404"/>
    </row>
    <row r="3" spans="1:14" s="16" customFormat="1" ht="14">
      <c r="A3" s="411" t="s">
        <v>77</v>
      </c>
      <c r="B3" s="60" t="s">
        <v>15</v>
      </c>
      <c r="C3" s="61">
        <v>1700</v>
      </c>
      <c r="D3" s="61">
        <v>3000</v>
      </c>
      <c r="E3" s="328">
        <v>4800</v>
      </c>
      <c r="F3" s="328">
        <v>9000</v>
      </c>
      <c r="G3" s="61">
        <v>16000</v>
      </c>
      <c r="H3" s="408" t="s">
        <v>294</v>
      </c>
      <c r="I3" s="408"/>
      <c r="J3" s="408"/>
      <c r="K3" s="408"/>
      <c r="L3" s="408"/>
      <c r="M3" s="408"/>
      <c r="N3" s="408"/>
    </row>
    <row r="4" spans="1:14" s="16" customFormat="1">
      <c r="A4" s="411"/>
      <c r="B4" s="62" t="s">
        <v>91</v>
      </c>
      <c r="C4" s="63">
        <v>3</v>
      </c>
      <c r="D4" s="63">
        <f>C4*1.03</f>
        <v>3.09</v>
      </c>
      <c r="E4" s="63">
        <f>D4*1.03</f>
        <v>3.1827000000000001</v>
      </c>
      <c r="F4" s="63">
        <f t="shared" ref="F4:G4" si="0">E4*1.03</f>
        <v>3.278181</v>
      </c>
      <c r="G4" s="63">
        <f t="shared" si="0"/>
        <v>3.3765264300000002</v>
      </c>
      <c r="H4" s="405" t="s">
        <v>350</v>
      </c>
      <c r="I4" s="405"/>
      <c r="J4" s="405"/>
      <c r="K4" s="405"/>
      <c r="L4" s="405"/>
      <c r="M4" s="405"/>
      <c r="N4" s="405"/>
    </row>
    <row r="5" spans="1:14" s="16" customFormat="1" ht="14.5" customHeight="1">
      <c r="A5" s="411"/>
      <c r="B5" s="62" t="s">
        <v>286</v>
      </c>
      <c r="C5" s="63">
        <v>3.8</v>
      </c>
      <c r="D5" s="63">
        <v>3.8</v>
      </c>
      <c r="E5" s="63">
        <v>3.91</v>
      </c>
      <c r="F5" s="63">
        <v>4.03</v>
      </c>
      <c r="G5" s="63">
        <v>4.1500000000000004</v>
      </c>
      <c r="H5" s="413" t="s">
        <v>300</v>
      </c>
      <c r="I5" s="413"/>
      <c r="J5" s="413"/>
      <c r="K5" s="413"/>
      <c r="L5" s="413"/>
      <c r="M5" s="413"/>
      <c r="N5" s="413"/>
    </row>
    <row r="6" spans="1:14" s="16" customFormat="1" ht="14.5" customHeight="1">
      <c r="A6" s="411"/>
      <c r="B6" s="62" t="s">
        <v>60</v>
      </c>
      <c r="C6" s="64">
        <v>1</v>
      </c>
      <c r="D6" s="64">
        <v>0.9</v>
      </c>
      <c r="E6" s="64">
        <v>0.8</v>
      </c>
      <c r="F6" s="64">
        <v>0.75</v>
      </c>
      <c r="G6" s="64">
        <v>0.65</v>
      </c>
      <c r="H6" s="413"/>
      <c r="I6" s="413"/>
      <c r="J6" s="413"/>
      <c r="K6" s="413"/>
      <c r="L6" s="413"/>
      <c r="M6" s="413"/>
      <c r="N6" s="413"/>
    </row>
    <row r="7" spans="1:14" s="16" customFormat="1" ht="15" customHeight="1">
      <c r="A7" s="411"/>
      <c r="B7" s="65" t="s">
        <v>62</v>
      </c>
      <c r="C7" s="66">
        <f>((C3*C6)*C4)*100</f>
        <v>510000</v>
      </c>
      <c r="D7" s="66">
        <f>((D3*D6)*D4)*100</f>
        <v>834300</v>
      </c>
      <c r="E7" s="66">
        <f t="shared" ref="E7:F7" si="1">((E3*E6)*E4)*100</f>
        <v>1222156.8</v>
      </c>
      <c r="F7" s="66">
        <f t="shared" si="1"/>
        <v>2212772.1750000003</v>
      </c>
      <c r="G7" s="66">
        <f>((G3*G6)*G4)*100</f>
        <v>3511587.4871999999</v>
      </c>
      <c r="H7" s="413"/>
      <c r="I7" s="413"/>
      <c r="J7" s="413"/>
      <c r="K7" s="413"/>
      <c r="L7" s="413"/>
      <c r="M7" s="413"/>
      <c r="N7" s="413"/>
    </row>
    <row r="8" spans="1:14" s="16" customFormat="1">
      <c r="A8" s="411"/>
      <c r="B8" s="62" t="s">
        <v>61</v>
      </c>
      <c r="C8" s="64">
        <f>1-C6</f>
        <v>0</v>
      </c>
      <c r="D8" s="64">
        <f t="shared" ref="D8:G8" si="2">1-D6</f>
        <v>9.9999999999999978E-2</v>
      </c>
      <c r="E8" s="64">
        <f t="shared" si="2"/>
        <v>0.19999999999999996</v>
      </c>
      <c r="F8" s="64">
        <f t="shared" si="2"/>
        <v>0.25</v>
      </c>
      <c r="G8" s="64">
        <f t="shared" si="2"/>
        <v>0.35</v>
      </c>
      <c r="H8" s="413"/>
      <c r="I8" s="413"/>
      <c r="J8" s="413"/>
      <c r="K8" s="413"/>
      <c r="L8" s="413"/>
      <c r="M8" s="413"/>
      <c r="N8" s="413"/>
    </row>
    <row r="9" spans="1:14" s="16" customFormat="1" ht="13" thickBot="1">
      <c r="A9" s="412"/>
      <c r="B9" s="67" t="s">
        <v>63</v>
      </c>
      <c r="C9" s="68">
        <f>((C3*C8)*C5)*100</f>
        <v>0</v>
      </c>
      <c r="D9" s="68">
        <f>((D3*D8)*D5)*100</f>
        <v>113999.99999999997</v>
      </c>
      <c r="E9" s="68">
        <f t="shared" ref="E9:G9" si="3">((E3*E8)*E5)*100</f>
        <v>375359.99999999994</v>
      </c>
      <c r="F9" s="68">
        <f t="shared" si="3"/>
        <v>906750</v>
      </c>
      <c r="G9" s="68">
        <f t="shared" si="3"/>
        <v>2324000.0000000005</v>
      </c>
      <c r="H9" s="409" t="s">
        <v>310</v>
      </c>
      <c r="I9" s="410"/>
      <c r="J9" s="410"/>
      <c r="K9" s="410"/>
      <c r="L9" s="410"/>
      <c r="M9" s="410"/>
      <c r="N9" s="410"/>
    </row>
    <row r="10" spans="1:14" s="18" customFormat="1" ht="13" thickBot="1">
      <c r="A10" s="69"/>
      <c r="B10" s="69" t="s">
        <v>0</v>
      </c>
      <c r="C10" s="70">
        <f>C7+C9</f>
        <v>510000</v>
      </c>
      <c r="D10" s="70">
        <f>D7+D9</f>
        <v>948300</v>
      </c>
      <c r="E10" s="70">
        <f>E7+E9</f>
        <v>1597516.8</v>
      </c>
      <c r="F10" s="70">
        <f>F7+F9</f>
        <v>3119522.1750000003</v>
      </c>
      <c r="G10" s="70">
        <f>G7+G9</f>
        <v>5835587.4872000003</v>
      </c>
      <c r="H10" s="410"/>
      <c r="I10" s="410"/>
      <c r="J10" s="410"/>
      <c r="K10" s="410"/>
      <c r="L10" s="410"/>
      <c r="M10" s="410"/>
      <c r="N10" s="410"/>
    </row>
    <row r="11" spans="1:14" s="18" customFormat="1" ht="14.5" hidden="1" customHeight="1">
      <c r="A11" s="399" t="s">
        <v>48</v>
      </c>
      <c r="B11" s="22" t="s">
        <v>29</v>
      </c>
      <c r="C11" s="167">
        <v>0</v>
      </c>
      <c r="D11" s="23">
        <v>0</v>
      </c>
      <c r="E11" s="23">
        <v>0</v>
      </c>
      <c r="F11" s="23">
        <v>0</v>
      </c>
      <c r="G11" s="23">
        <v>0</v>
      </c>
      <c r="H11" s="406" t="s">
        <v>293</v>
      </c>
      <c r="I11" s="406"/>
      <c r="J11" s="406"/>
      <c r="K11" s="406"/>
      <c r="L11" s="406"/>
      <c r="M11" s="406"/>
      <c r="N11" s="406"/>
    </row>
    <row r="12" spans="1:14" s="18" customFormat="1" ht="14.5" hidden="1" customHeight="1">
      <c r="A12" s="399"/>
      <c r="B12" s="22" t="s">
        <v>31</v>
      </c>
      <c r="C12" s="24">
        <v>1.1136363636363638</v>
      </c>
      <c r="D12" s="24">
        <v>1.1140000000000001</v>
      </c>
      <c r="E12" s="24">
        <v>1.1140000000000001</v>
      </c>
      <c r="F12" s="24">
        <v>1.1140000000000001</v>
      </c>
      <c r="G12" s="24">
        <v>1.1140000000000001</v>
      </c>
      <c r="H12" s="406"/>
      <c r="I12" s="406"/>
      <c r="J12" s="406"/>
      <c r="K12" s="406"/>
      <c r="L12" s="406"/>
      <c r="M12" s="406"/>
      <c r="N12" s="406"/>
    </row>
    <row r="13" spans="1:14" s="18" customFormat="1" ht="15.5" hidden="1" customHeight="1">
      <c r="A13" s="399"/>
      <c r="B13" s="22" t="s">
        <v>32</v>
      </c>
      <c r="C13" s="8">
        <f>(C11*100)*C12</f>
        <v>0</v>
      </c>
      <c r="D13" s="8">
        <f t="shared" ref="D13:G13" si="4">(D11*100)*D12</f>
        <v>0</v>
      </c>
      <c r="E13" s="8">
        <f t="shared" si="4"/>
        <v>0</v>
      </c>
      <c r="F13" s="8">
        <f>(F11*100)*F12</f>
        <v>0</v>
      </c>
      <c r="G13" s="8">
        <f t="shared" si="4"/>
        <v>0</v>
      </c>
      <c r="H13" s="406"/>
      <c r="I13" s="406"/>
      <c r="J13" s="406"/>
      <c r="K13" s="406"/>
      <c r="L13" s="406"/>
      <c r="M13" s="406"/>
      <c r="N13" s="406"/>
    </row>
    <row r="14" spans="1:14" s="18" customFormat="1" hidden="1">
      <c r="A14" s="399"/>
      <c r="B14" s="22" t="s">
        <v>34</v>
      </c>
      <c r="C14" s="24">
        <v>0.41732323232323232</v>
      </c>
      <c r="D14" s="24">
        <v>0.41699999999999998</v>
      </c>
      <c r="E14" s="24">
        <v>0.41699999999999998</v>
      </c>
      <c r="F14" s="24">
        <v>0.41699999999999998</v>
      </c>
      <c r="G14" s="24">
        <v>0.41699999999999998</v>
      </c>
      <c r="H14" s="407" t="s">
        <v>136</v>
      </c>
      <c r="I14" s="407"/>
      <c r="J14" s="407"/>
      <c r="K14" s="407"/>
      <c r="L14" s="407"/>
      <c r="M14" s="407"/>
      <c r="N14" s="407"/>
    </row>
    <row r="15" spans="1:14" s="18" customFormat="1" hidden="1">
      <c r="A15" s="399"/>
      <c r="B15" s="22" t="s">
        <v>33</v>
      </c>
      <c r="C15" s="8">
        <f>(C11*100)*C14</f>
        <v>0</v>
      </c>
      <c r="D15" s="8">
        <f>(D11*100)*D14</f>
        <v>0</v>
      </c>
      <c r="E15" s="8">
        <f>(E11*100)*E14</f>
        <v>0</v>
      </c>
      <c r="F15" s="8">
        <f t="shared" ref="F15:G15" si="5">(F11*100)*F14</f>
        <v>0</v>
      </c>
      <c r="G15" s="8">
        <f t="shared" si="5"/>
        <v>0</v>
      </c>
      <c r="H15" s="407"/>
      <c r="I15" s="407"/>
      <c r="J15" s="407"/>
      <c r="K15" s="407"/>
      <c r="L15" s="407"/>
      <c r="M15" s="407"/>
      <c r="N15" s="407"/>
    </row>
    <row r="16" spans="1:14" s="18" customFormat="1" ht="13" hidden="1" thickBot="1">
      <c r="A16" s="400"/>
      <c r="B16" s="25" t="s">
        <v>74</v>
      </c>
      <c r="C16" s="26">
        <f>C13-C15</f>
        <v>0</v>
      </c>
      <c r="D16" s="26">
        <f t="shared" ref="D16:G16" si="6">D13-D15</f>
        <v>0</v>
      </c>
      <c r="E16" s="26">
        <f t="shared" si="6"/>
        <v>0</v>
      </c>
      <c r="F16" s="26">
        <f t="shared" si="6"/>
        <v>0</v>
      </c>
      <c r="G16" s="26">
        <f t="shared" si="6"/>
        <v>0</v>
      </c>
      <c r="H16" s="407"/>
      <c r="I16" s="407"/>
      <c r="J16" s="407"/>
      <c r="K16" s="407"/>
      <c r="L16" s="407"/>
      <c r="M16" s="407"/>
      <c r="N16" s="407"/>
    </row>
    <row r="17" spans="1:14" ht="13" thickBot="1">
      <c r="A17" s="45" t="s">
        <v>49</v>
      </c>
      <c r="B17" s="46" t="s">
        <v>2</v>
      </c>
      <c r="C17" s="47">
        <f>C75*('Duty Calcs '!R17/100)*'Duty Calcs '!J8</f>
        <v>82398.954779999985</v>
      </c>
      <c r="D17" s="47">
        <f>D75*('Duty Calcs '!R17/100)*'Duty Calcs '!J9</f>
        <v>151080.90708779998</v>
      </c>
      <c r="E17" s="47">
        <f>E75*('Duty Calcs '!R17/100)*'Duty Calcs '!M8</f>
        <v>251156.8999427587</v>
      </c>
      <c r="F17" s="47">
        <f>F75*('Duty Calcs '!R17/100)*'Duty Calcs '!N12</f>
        <v>672766.9240888569</v>
      </c>
      <c r="G17" s="47">
        <f>G75*('Duty Calcs '!R17/100)*'Duty Calcs '!N13</f>
        <v>1430959.3910775082</v>
      </c>
      <c r="H17" s="386" t="s">
        <v>21</v>
      </c>
      <c r="I17" s="386"/>
      <c r="J17" s="386"/>
      <c r="K17" s="386"/>
      <c r="L17" s="386"/>
      <c r="M17" s="386"/>
      <c r="N17" s="386"/>
    </row>
    <row r="18" spans="1:14">
      <c r="A18" s="402" t="s">
        <v>51</v>
      </c>
      <c r="B18" s="27" t="s">
        <v>58</v>
      </c>
      <c r="C18" s="28">
        <f>(0.32*C3)*100</f>
        <v>54400</v>
      </c>
      <c r="D18" s="28">
        <f>(0.32*D3)*100</f>
        <v>96000</v>
      </c>
      <c r="E18" s="28">
        <f>(0.32*E3)*100</f>
        <v>153600</v>
      </c>
      <c r="F18" s="28">
        <f>(0.31*F3)*100</f>
        <v>279000</v>
      </c>
      <c r="G18" s="28">
        <f>(0.29*G3)*100</f>
        <v>464000</v>
      </c>
      <c r="H18" s="386" t="s">
        <v>301</v>
      </c>
      <c r="I18" s="386"/>
      <c r="J18" s="386"/>
      <c r="K18" s="386"/>
      <c r="L18" s="386"/>
      <c r="M18" s="386"/>
      <c r="N18" s="386"/>
    </row>
    <row r="19" spans="1:14" ht="13" thickBot="1">
      <c r="A19" s="403"/>
      <c r="B19" s="29" t="s">
        <v>59</v>
      </c>
      <c r="C19" s="30">
        <f>0.45*(C3*C8)*100</f>
        <v>0</v>
      </c>
      <c r="D19" s="30">
        <f>0.5*(D3*D8)*100</f>
        <v>14999.999999999996</v>
      </c>
      <c r="E19" s="30">
        <f>0.5*(E3*E8)*100</f>
        <v>47999.999999999985</v>
      </c>
      <c r="F19" s="30">
        <f>0.5*(F3*F8)*100</f>
        <v>112500</v>
      </c>
      <c r="G19" s="30">
        <f>0.5*(G3*G8)*100</f>
        <v>280000</v>
      </c>
      <c r="H19" s="386" t="s">
        <v>78</v>
      </c>
      <c r="I19" s="386"/>
      <c r="J19" s="386"/>
      <c r="K19" s="386"/>
      <c r="L19" s="386"/>
      <c r="M19" s="386"/>
      <c r="N19" s="386"/>
    </row>
    <row r="20" spans="1:14">
      <c r="A20" s="396" t="s">
        <v>50</v>
      </c>
      <c r="B20" s="40" t="s">
        <v>72</v>
      </c>
      <c r="C20" s="41">
        <v>29000</v>
      </c>
      <c r="D20" s="41">
        <v>39900</v>
      </c>
      <c r="E20" s="41">
        <f>(D20*1.05)+20000</f>
        <v>61895</v>
      </c>
      <c r="F20" s="41">
        <f>(E20*1.05)+20000</f>
        <v>84989.75</v>
      </c>
      <c r="G20" s="41">
        <f>(F20*1.05)</f>
        <v>89239.237500000003</v>
      </c>
      <c r="H20" s="386" t="s">
        <v>302</v>
      </c>
      <c r="I20" s="386"/>
      <c r="J20" s="386"/>
      <c r="K20" s="386"/>
      <c r="L20" s="386"/>
      <c r="M20" s="386"/>
      <c r="N20" s="386"/>
    </row>
    <row r="21" spans="1:14">
      <c r="A21" s="396"/>
      <c r="B21" s="40" t="s">
        <v>73</v>
      </c>
      <c r="C21" s="41">
        <v>0</v>
      </c>
      <c r="D21" s="41">
        <v>0</v>
      </c>
      <c r="E21" s="41">
        <f>D21*1.05</f>
        <v>0</v>
      </c>
      <c r="F21" s="41">
        <v>32000</v>
      </c>
      <c r="G21" s="41">
        <f>F21*1.05</f>
        <v>33600</v>
      </c>
      <c r="H21" s="386" t="s">
        <v>81</v>
      </c>
      <c r="I21" s="386"/>
      <c r="J21" s="386"/>
      <c r="K21" s="386"/>
      <c r="L21" s="386"/>
      <c r="M21" s="386"/>
      <c r="N21" s="386"/>
    </row>
    <row r="22" spans="1:14">
      <c r="A22" s="396"/>
      <c r="B22" s="40" t="s">
        <v>16</v>
      </c>
      <c r="C22" s="41">
        <v>25000</v>
      </c>
      <c r="D22" s="41">
        <f>(C22*1.05)</f>
        <v>26250</v>
      </c>
      <c r="E22" s="41">
        <f>(D22*1.05)+22000</f>
        <v>49562.5</v>
      </c>
      <c r="F22" s="41">
        <f>(E22*1.05)+22000</f>
        <v>74040.625</v>
      </c>
      <c r="G22" s="41">
        <f>(F22*1.05)+22000</f>
        <v>99742.65625</v>
      </c>
      <c r="H22" s="386" t="s">
        <v>304</v>
      </c>
      <c r="I22" s="386"/>
      <c r="J22" s="386"/>
      <c r="K22" s="386"/>
      <c r="L22" s="386"/>
      <c r="M22" s="386"/>
      <c r="N22" s="386"/>
    </row>
    <row r="23" spans="1:14">
      <c r="A23" s="396"/>
      <c r="B23" s="363" t="s">
        <v>17</v>
      </c>
      <c r="C23" s="41">
        <v>0</v>
      </c>
      <c r="D23" s="41">
        <v>22000</v>
      </c>
      <c r="E23" s="41">
        <f>D23*1.05</f>
        <v>23100</v>
      </c>
      <c r="F23" s="41">
        <f>E23*1.05</f>
        <v>24255</v>
      </c>
      <c r="G23" s="41">
        <f>(F23*1.05)</f>
        <v>25467.75</v>
      </c>
      <c r="H23" s="386" t="s">
        <v>21</v>
      </c>
      <c r="I23" s="386"/>
      <c r="J23" s="386"/>
      <c r="K23" s="386"/>
      <c r="L23" s="386"/>
      <c r="M23" s="386"/>
      <c r="N23" s="386"/>
    </row>
    <row r="24" spans="1:14">
      <c r="A24" s="396"/>
      <c r="B24" s="40" t="s">
        <v>18</v>
      </c>
      <c r="C24" s="41">
        <v>20000</v>
      </c>
      <c r="D24" s="41">
        <f>C24*1.05</f>
        <v>21000</v>
      </c>
      <c r="E24" s="41">
        <f>(D24*1.05)</f>
        <v>22050</v>
      </c>
      <c r="F24" s="41">
        <f>(E24*1.05)+20000</f>
        <v>43152.5</v>
      </c>
      <c r="G24" s="41">
        <f>F24*1.05</f>
        <v>45310.125</v>
      </c>
      <c r="H24" s="386" t="s">
        <v>303</v>
      </c>
      <c r="I24" s="386"/>
      <c r="J24" s="386"/>
      <c r="K24" s="386"/>
      <c r="L24" s="386"/>
      <c r="M24" s="386"/>
      <c r="N24" s="386"/>
    </row>
    <row r="25" spans="1:14">
      <c r="A25" s="396"/>
      <c r="B25" s="40" t="s">
        <v>19</v>
      </c>
      <c r="C25" s="41">
        <v>0</v>
      </c>
      <c r="D25" s="41">
        <v>0</v>
      </c>
      <c r="E25" s="41">
        <f>D25*1.05</f>
        <v>0</v>
      </c>
      <c r="F25" s="41">
        <f>(E25*1.05)</f>
        <v>0</v>
      </c>
      <c r="G25" s="41">
        <f>(F25*1.05)</f>
        <v>0</v>
      </c>
      <c r="H25" s="386" t="s">
        <v>291</v>
      </c>
      <c r="I25" s="386"/>
      <c r="J25" s="386"/>
      <c r="K25" s="386"/>
      <c r="L25" s="386"/>
      <c r="M25" s="386"/>
      <c r="N25" s="386"/>
    </row>
    <row r="26" spans="1:14">
      <c r="A26" s="396"/>
      <c r="B26" s="40" t="s">
        <v>313</v>
      </c>
      <c r="C26" s="41">
        <v>29000</v>
      </c>
      <c r="D26" s="41">
        <v>37800</v>
      </c>
      <c r="E26" s="41">
        <f>(D26*1.05)</f>
        <v>39690</v>
      </c>
      <c r="F26" s="41">
        <f>(E26*1.05)+30000</f>
        <v>71674.5</v>
      </c>
      <c r="G26" s="41">
        <f>(F26*1.05)+20000</f>
        <v>95258.225000000006</v>
      </c>
      <c r="H26" s="386" t="s">
        <v>314</v>
      </c>
      <c r="I26" s="386"/>
      <c r="J26" s="386"/>
      <c r="K26" s="386"/>
      <c r="L26" s="386"/>
      <c r="M26" s="386"/>
      <c r="N26" s="386"/>
    </row>
    <row r="27" spans="1:14">
      <c r="A27" s="396"/>
      <c r="B27" s="42" t="s">
        <v>64</v>
      </c>
      <c r="C27" s="41">
        <f>(C20+C21+C25)*0.05</f>
        <v>1450</v>
      </c>
      <c r="D27" s="41">
        <f>(D20+D21+D25)*0.1</f>
        <v>3990</v>
      </c>
      <c r="E27" s="41">
        <f>(E20+E21+E25)*0.1</f>
        <v>6189.5</v>
      </c>
      <c r="F27" s="41">
        <f>(F20+F21+F25)*0.1</f>
        <v>11698.975</v>
      </c>
      <c r="G27" s="41">
        <f>(G20+G21+G25)*0.12</f>
        <v>14740.708500000001</v>
      </c>
      <c r="H27" s="386" t="s">
        <v>79</v>
      </c>
      <c r="I27" s="386"/>
      <c r="J27" s="386"/>
      <c r="K27" s="386"/>
      <c r="L27" s="386"/>
      <c r="M27" s="386"/>
      <c r="N27" s="386"/>
    </row>
    <row r="28" spans="1:14" ht="13" thickBot="1">
      <c r="A28" s="397"/>
      <c r="B28" s="43" t="s">
        <v>10</v>
      </c>
      <c r="C28" s="44"/>
      <c r="D28" s="44">
        <f>SUM(D20:D26)*0.1</f>
        <v>14695</v>
      </c>
      <c r="E28" s="44">
        <f>SUM(E20:E26)*0.1</f>
        <v>19629.75</v>
      </c>
      <c r="F28" s="44">
        <f>SUM(F20:F26)*0.1</f>
        <v>33011.237500000003</v>
      </c>
      <c r="G28" s="44">
        <f>SUM(G20:G26)*0.1</f>
        <v>38861.799375000002</v>
      </c>
      <c r="H28" s="386" t="s">
        <v>80</v>
      </c>
      <c r="I28" s="386"/>
      <c r="J28" s="386"/>
      <c r="K28" s="386"/>
      <c r="L28" s="386"/>
      <c r="M28" s="386"/>
      <c r="N28" s="386"/>
    </row>
    <row r="29" spans="1:14" ht="14.5" customHeight="1">
      <c r="A29" s="398" t="s">
        <v>67</v>
      </c>
      <c r="B29" s="22" t="s">
        <v>38</v>
      </c>
      <c r="C29" s="9">
        <v>2000</v>
      </c>
      <c r="D29" s="9">
        <v>2000</v>
      </c>
      <c r="E29" s="9">
        <v>3000</v>
      </c>
      <c r="F29" s="9">
        <v>3500</v>
      </c>
      <c r="G29" s="9">
        <v>4000</v>
      </c>
      <c r="H29" s="383"/>
      <c r="I29" s="383"/>
      <c r="J29" s="383"/>
      <c r="K29" s="383"/>
      <c r="L29" s="383"/>
      <c r="M29" s="383"/>
      <c r="N29" s="383"/>
    </row>
    <row r="30" spans="1:14">
      <c r="A30" s="399"/>
      <c r="B30" s="22" t="s">
        <v>39</v>
      </c>
      <c r="C30" s="24">
        <f>SUM(C20,C22,C23,C24,C25,C26,C53)*0.138</f>
        <v>26634.000000000004</v>
      </c>
      <c r="D30" s="9">
        <f>SUM(D20,D21,D22,D23,D24,D25,D26,D53,D27,D28)*0.138</f>
        <v>35277.630000000005</v>
      </c>
      <c r="E30" s="9">
        <f>SUM(E20,E21,E22,E23,E24,E25,E26,E53,E27,E28)*0.138</f>
        <v>47212.111500000006</v>
      </c>
      <c r="F30" s="9">
        <f t="shared" ref="F30:G30" si="7">SUM(F20,F21,F22,F23,F24,F25,F26,F53,F27,F28)*0.138</f>
        <v>69113.517074999996</v>
      </c>
      <c r="G30" s="9">
        <f t="shared" si="7"/>
        <v>79283.829224250017</v>
      </c>
      <c r="H30" s="383"/>
      <c r="I30" s="383"/>
      <c r="J30" s="383"/>
      <c r="K30" s="383"/>
      <c r="L30" s="383"/>
      <c r="M30" s="383"/>
      <c r="N30" s="383"/>
    </row>
    <row r="31" spans="1:14">
      <c r="A31" s="399"/>
      <c r="B31" s="22" t="s">
        <v>95</v>
      </c>
      <c r="C31" s="9">
        <f>SUM(C20,C22,C23,C24,C25,C26,C53)*0.01</f>
        <v>1930</v>
      </c>
      <c r="D31" s="9">
        <f>SUM(D20,D22,D23,D24,D25,D26,D53)*0.03</f>
        <v>7108.5</v>
      </c>
      <c r="E31" s="9">
        <f>SUM(E20,E22,E23,E24,E25,E26,E53)*0.03</f>
        <v>9488.9249999999993</v>
      </c>
      <c r="F31" s="9">
        <f>SUM(F20,F22,F23,F24,F25,F26,F53)*0.03</f>
        <v>12723.37125</v>
      </c>
      <c r="G31" s="9">
        <f>SUM(G20,G22,G23,G24,G25,G26,G53)*0.03</f>
        <v>14619.539812500001</v>
      </c>
      <c r="H31" s="383"/>
      <c r="I31" s="383"/>
      <c r="J31" s="383"/>
      <c r="K31" s="383"/>
      <c r="L31" s="383"/>
      <c r="M31" s="383"/>
      <c r="N31" s="383"/>
    </row>
    <row r="32" spans="1:14">
      <c r="A32" s="399"/>
      <c r="B32" s="22" t="s">
        <v>96</v>
      </c>
      <c r="C32" s="9"/>
      <c r="D32" s="9">
        <f>1200*D73</f>
        <v>8400</v>
      </c>
      <c r="E32" s="9">
        <f>1200*E73</f>
        <v>10800</v>
      </c>
      <c r="F32" s="9">
        <f>1200*F73</f>
        <v>16800</v>
      </c>
      <c r="G32" s="9">
        <f>1200*G73</f>
        <v>19200</v>
      </c>
      <c r="H32" s="386" t="s">
        <v>97</v>
      </c>
      <c r="I32" s="386"/>
      <c r="J32" s="386"/>
      <c r="K32" s="386"/>
      <c r="L32" s="386"/>
      <c r="M32" s="386"/>
      <c r="N32" s="386"/>
    </row>
    <row r="33" spans="1:14" ht="13" thickBot="1">
      <c r="A33" s="400"/>
      <c r="B33" s="29" t="s">
        <v>40</v>
      </c>
      <c r="C33" s="9"/>
      <c r="D33" s="9">
        <f>360*D73</f>
        <v>2520</v>
      </c>
      <c r="E33" s="9">
        <f>360*E73</f>
        <v>3240</v>
      </c>
      <c r="F33" s="9">
        <f>360*F73</f>
        <v>5040</v>
      </c>
      <c r="G33" s="30">
        <f>360*G73</f>
        <v>5760</v>
      </c>
      <c r="H33" s="383"/>
      <c r="I33" s="383"/>
      <c r="J33" s="383"/>
      <c r="K33" s="383"/>
      <c r="L33" s="383"/>
      <c r="M33" s="383"/>
      <c r="N33" s="383"/>
    </row>
    <row r="34" spans="1:14">
      <c r="A34" s="401" t="s">
        <v>66</v>
      </c>
      <c r="B34" s="40" t="s">
        <v>41</v>
      </c>
      <c r="C34" s="48">
        <v>0</v>
      </c>
      <c r="D34" s="48">
        <f>D73*1000</f>
        <v>7000</v>
      </c>
      <c r="E34" s="48">
        <f>E73*1000</f>
        <v>9000</v>
      </c>
      <c r="F34" s="48">
        <f>F73*1000</f>
        <v>14000</v>
      </c>
      <c r="G34" s="41">
        <f>G73*1000</f>
        <v>16000</v>
      </c>
      <c r="H34" s="386" t="s">
        <v>311</v>
      </c>
      <c r="I34" s="386"/>
      <c r="J34" s="386"/>
      <c r="K34" s="386"/>
      <c r="L34" s="386"/>
      <c r="M34" s="386"/>
      <c r="N34" s="386"/>
    </row>
    <row r="35" spans="1:14" ht="13" thickBot="1">
      <c r="A35" s="397"/>
      <c r="B35" s="40" t="s">
        <v>65</v>
      </c>
      <c r="C35" s="41"/>
      <c r="D35" s="41">
        <f>D73*250</f>
        <v>1750</v>
      </c>
      <c r="E35" s="41">
        <f>E73*250</f>
        <v>2250</v>
      </c>
      <c r="F35" s="41">
        <f>F73*250</f>
        <v>3500</v>
      </c>
      <c r="G35" s="41">
        <f>G73*250</f>
        <v>4000</v>
      </c>
      <c r="H35" s="386" t="s">
        <v>312</v>
      </c>
      <c r="I35" s="386"/>
      <c r="J35" s="386"/>
      <c r="K35" s="386"/>
      <c r="L35" s="386"/>
      <c r="M35" s="386"/>
      <c r="N35" s="386"/>
    </row>
    <row r="36" spans="1:14">
      <c r="A36" s="398" t="s">
        <v>343</v>
      </c>
      <c r="B36" s="27" t="s">
        <v>1</v>
      </c>
      <c r="C36" s="28">
        <f>(C10*0.1)-C23</f>
        <v>51000</v>
      </c>
      <c r="D36" s="28">
        <f>(D10*0.1)-D23</f>
        <v>72830</v>
      </c>
      <c r="E36" s="28">
        <f>(E10*0.1)-E23</f>
        <v>136651.68000000002</v>
      </c>
      <c r="F36" s="28">
        <f>(F10*0.1)-F23</f>
        <v>287697.21750000003</v>
      </c>
      <c r="G36" s="28">
        <f>(G10*0.1)-G23</f>
        <v>558090.99872000003</v>
      </c>
      <c r="H36" s="386" t="s">
        <v>82</v>
      </c>
      <c r="I36" s="386"/>
      <c r="J36" s="386"/>
      <c r="K36" s="386"/>
      <c r="L36" s="386"/>
      <c r="M36" s="386"/>
      <c r="N36" s="386"/>
    </row>
    <row r="37" spans="1:14">
      <c r="A37" s="399"/>
      <c r="B37" s="22" t="s">
        <v>44</v>
      </c>
      <c r="C37" s="9">
        <v>0</v>
      </c>
      <c r="D37" s="9">
        <v>20000</v>
      </c>
      <c r="E37" s="9">
        <v>30000</v>
      </c>
      <c r="F37" s="9">
        <v>40000</v>
      </c>
      <c r="G37" s="9">
        <v>50000</v>
      </c>
      <c r="H37" s="386" t="s">
        <v>83</v>
      </c>
      <c r="I37" s="386"/>
      <c r="J37" s="386"/>
      <c r="K37" s="386"/>
      <c r="L37" s="386"/>
      <c r="M37" s="386"/>
      <c r="N37" s="386"/>
    </row>
    <row r="38" spans="1:14" ht="13" thickBot="1">
      <c r="A38" s="400"/>
      <c r="B38" s="31" t="s">
        <v>137</v>
      </c>
      <c r="C38" s="32">
        <v>0</v>
      </c>
      <c r="D38" s="32">
        <v>0</v>
      </c>
      <c r="E38" s="32">
        <f>E10*0.005</f>
        <v>7987.5840000000007</v>
      </c>
      <c r="F38" s="32">
        <f>F10*0.005</f>
        <v>15597.610875000002</v>
      </c>
      <c r="G38" s="32">
        <f>G10*0.005</f>
        <v>29177.937436000004</v>
      </c>
      <c r="H38" s="386" t="s">
        <v>84</v>
      </c>
      <c r="I38" s="386"/>
      <c r="J38" s="386"/>
      <c r="K38" s="386"/>
      <c r="L38" s="386"/>
      <c r="M38" s="386"/>
      <c r="N38" s="386"/>
    </row>
    <row r="39" spans="1:14" ht="12" customHeight="1">
      <c r="A39" s="401" t="s">
        <v>57</v>
      </c>
      <c r="B39" s="40" t="s">
        <v>36</v>
      </c>
      <c r="C39" s="41">
        <v>4800</v>
      </c>
      <c r="D39" s="41">
        <v>4800</v>
      </c>
      <c r="E39" s="41">
        <v>9600</v>
      </c>
      <c r="F39" s="41">
        <v>14400</v>
      </c>
      <c r="G39" s="41">
        <v>19200</v>
      </c>
      <c r="H39" s="386" t="s">
        <v>309</v>
      </c>
      <c r="I39" s="386"/>
      <c r="J39" s="386"/>
      <c r="K39" s="386"/>
      <c r="L39" s="386"/>
      <c r="M39" s="386"/>
      <c r="N39" s="386"/>
    </row>
    <row r="40" spans="1:14" ht="14.5" customHeight="1">
      <c r="A40" s="396"/>
      <c r="B40" s="49" t="s">
        <v>47</v>
      </c>
      <c r="C40" s="41">
        <v>7200</v>
      </c>
      <c r="D40" s="41">
        <v>7200</v>
      </c>
      <c r="E40" s="41">
        <v>14400</v>
      </c>
      <c r="F40" s="41">
        <v>21600</v>
      </c>
      <c r="G40" s="41">
        <v>28800</v>
      </c>
      <c r="H40" s="386" t="s">
        <v>305</v>
      </c>
      <c r="I40" s="386"/>
      <c r="J40" s="386"/>
      <c r="K40" s="386"/>
      <c r="L40" s="386"/>
      <c r="M40" s="386"/>
      <c r="N40" s="386"/>
    </row>
    <row r="41" spans="1:14" ht="14.5" customHeight="1">
      <c r="A41" s="396"/>
      <c r="B41" s="40" t="s">
        <v>35</v>
      </c>
      <c r="C41" s="41">
        <v>3600</v>
      </c>
      <c r="D41" s="41">
        <v>4800</v>
      </c>
      <c r="E41" s="41">
        <v>6000</v>
      </c>
      <c r="F41" s="41">
        <v>7200</v>
      </c>
      <c r="G41" s="41">
        <v>8400</v>
      </c>
      <c r="H41" s="386" t="s">
        <v>358</v>
      </c>
      <c r="I41" s="386"/>
      <c r="J41" s="386"/>
      <c r="K41" s="386"/>
      <c r="L41" s="386"/>
      <c r="M41" s="386"/>
      <c r="N41" s="386"/>
    </row>
    <row r="42" spans="1:14" ht="14.5" customHeight="1">
      <c r="A42" s="396"/>
      <c r="B42" s="40" t="s">
        <v>45</v>
      </c>
      <c r="C42" s="41">
        <v>2000</v>
      </c>
      <c r="D42" s="41">
        <v>2000</v>
      </c>
      <c r="E42" s="41">
        <v>2000</v>
      </c>
      <c r="F42" s="41">
        <v>2000</v>
      </c>
      <c r="G42" s="41">
        <v>2000</v>
      </c>
      <c r="H42" s="383"/>
      <c r="I42" s="383"/>
      <c r="J42" s="383"/>
      <c r="K42" s="383"/>
      <c r="L42" s="383"/>
      <c r="M42" s="383"/>
      <c r="N42" s="383"/>
    </row>
    <row r="43" spans="1:14" ht="14.5" customHeight="1">
      <c r="A43" s="396"/>
      <c r="B43" s="40" t="s">
        <v>37</v>
      </c>
      <c r="C43" s="41">
        <v>3000</v>
      </c>
      <c r="D43" s="41">
        <v>4000</v>
      </c>
      <c r="E43" s="41">
        <v>4000</v>
      </c>
      <c r="F43" s="41">
        <v>4000</v>
      </c>
      <c r="G43" s="41">
        <v>5000</v>
      </c>
      <c r="H43" s="383"/>
      <c r="I43" s="383"/>
      <c r="J43" s="383"/>
      <c r="K43" s="383"/>
      <c r="L43" s="383"/>
      <c r="M43" s="383"/>
      <c r="N43" s="383"/>
    </row>
    <row r="44" spans="1:14" ht="15" customHeight="1" thickBot="1">
      <c r="A44" s="397"/>
      <c r="B44" s="43" t="s">
        <v>46</v>
      </c>
      <c r="C44" s="44">
        <v>2000</v>
      </c>
      <c r="D44" s="44">
        <v>2000</v>
      </c>
      <c r="E44" s="44">
        <v>4000</v>
      </c>
      <c r="F44" s="44">
        <v>6000</v>
      </c>
      <c r="G44" s="44">
        <v>8000</v>
      </c>
      <c r="H44" s="383"/>
      <c r="I44" s="383"/>
      <c r="J44" s="383"/>
      <c r="K44" s="383"/>
      <c r="L44" s="383"/>
      <c r="M44" s="383"/>
      <c r="N44" s="383"/>
    </row>
    <row r="45" spans="1:14" ht="13" thickBot="1">
      <c r="A45" s="33" t="s">
        <v>85</v>
      </c>
      <c r="B45" s="34" t="s">
        <v>71</v>
      </c>
      <c r="C45" s="13">
        <f>(C7*0)+(C9*0)</f>
        <v>0</v>
      </c>
      <c r="D45" s="35">
        <f>(D7*0.05)+(D9*0.05)</f>
        <v>47415</v>
      </c>
      <c r="E45" s="35">
        <f>(E7*0.06)+(E9*0.08)</f>
        <v>103358.20799999998</v>
      </c>
      <c r="F45" s="35">
        <f>(F7*0.08)+(F9*0.1)</f>
        <v>267696.77400000003</v>
      </c>
      <c r="G45" s="13">
        <f>(G7*0.12)+(G9*0.15)</f>
        <v>769990.49846399995</v>
      </c>
      <c r="H45" s="386" t="s">
        <v>308</v>
      </c>
      <c r="I45" s="386"/>
      <c r="J45" s="386"/>
      <c r="K45" s="386"/>
      <c r="L45" s="386"/>
      <c r="M45" s="386"/>
      <c r="N45" s="386"/>
    </row>
    <row r="46" spans="1:14">
      <c r="A46" s="396" t="s">
        <v>86</v>
      </c>
      <c r="B46" s="40" t="s">
        <v>4</v>
      </c>
      <c r="C46" s="48">
        <f>(0.3*C3)*100</f>
        <v>51000</v>
      </c>
      <c r="D46" s="41">
        <f>(0.3*D3)*100</f>
        <v>90000</v>
      </c>
      <c r="E46" s="41">
        <f>(0.3*E3)*100</f>
        <v>144000</v>
      </c>
      <c r="F46" s="41">
        <f>(0.29*F3)*100</f>
        <v>261000</v>
      </c>
      <c r="G46" s="48">
        <f>(0.28*G3)*100</f>
        <v>448000</v>
      </c>
      <c r="H46" s="386" t="s">
        <v>295</v>
      </c>
      <c r="I46" s="386"/>
      <c r="J46" s="386"/>
      <c r="K46" s="386"/>
      <c r="L46" s="386"/>
      <c r="M46" s="386"/>
      <c r="N46" s="386"/>
    </row>
    <row r="47" spans="1:14">
      <c r="A47" s="396"/>
      <c r="B47" s="49" t="s">
        <v>30</v>
      </c>
      <c r="C47" s="50">
        <f>(0.33*C11)*100</f>
        <v>0</v>
      </c>
      <c r="D47" s="50">
        <f>(0.33*D11)*100</f>
        <v>0</v>
      </c>
      <c r="E47" s="50">
        <f>(0.33*E11)*100</f>
        <v>0</v>
      </c>
      <c r="F47" s="50">
        <f>(0.2*F11)*100</f>
        <v>0</v>
      </c>
      <c r="G47" s="50">
        <f>(0.2*G11)*100</f>
        <v>0</v>
      </c>
      <c r="H47" s="386" t="s">
        <v>306</v>
      </c>
      <c r="I47" s="386"/>
      <c r="J47" s="386"/>
      <c r="K47" s="386"/>
      <c r="L47" s="386"/>
      <c r="M47" s="386"/>
      <c r="N47" s="386"/>
    </row>
    <row r="48" spans="1:14">
      <c r="A48" s="396"/>
      <c r="B48" s="40" t="s">
        <v>27</v>
      </c>
      <c r="C48" s="41">
        <v>6000</v>
      </c>
      <c r="D48" s="41">
        <v>6000</v>
      </c>
      <c r="E48" s="41">
        <v>6000</v>
      </c>
      <c r="F48" s="41">
        <v>12000</v>
      </c>
      <c r="G48" s="41">
        <v>12000</v>
      </c>
      <c r="H48" s="384" t="s">
        <v>21</v>
      </c>
      <c r="I48" s="384"/>
      <c r="J48" s="384"/>
      <c r="K48" s="384"/>
      <c r="L48" s="384"/>
      <c r="M48" s="384"/>
      <c r="N48" s="384"/>
    </row>
    <row r="49" spans="1:14">
      <c r="A49" s="396"/>
      <c r="B49" s="40" t="s">
        <v>14</v>
      </c>
      <c r="C49" s="41">
        <v>12000</v>
      </c>
      <c r="D49" s="41">
        <v>12000</v>
      </c>
      <c r="E49" s="41">
        <v>12000</v>
      </c>
      <c r="F49" s="41">
        <f>E49*1.05</f>
        <v>12600</v>
      </c>
      <c r="G49" s="41">
        <f>F49*1.05</f>
        <v>13230</v>
      </c>
      <c r="H49" s="388" t="s">
        <v>315</v>
      </c>
      <c r="I49" s="388"/>
      <c r="J49" s="388"/>
      <c r="K49" s="388"/>
      <c r="L49" s="388"/>
      <c r="M49" s="388"/>
      <c r="N49" s="388"/>
    </row>
    <row r="50" spans="1:14">
      <c r="A50" s="396"/>
      <c r="B50" s="40" t="s">
        <v>330</v>
      </c>
      <c r="C50" s="41">
        <v>6000</v>
      </c>
      <c r="D50" s="41">
        <v>6000</v>
      </c>
      <c r="E50" s="41">
        <v>6000</v>
      </c>
      <c r="F50" s="41">
        <v>6300</v>
      </c>
      <c r="G50" s="41">
        <v>6615</v>
      </c>
      <c r="H50" s="327"/>
      <c r="I50" s="327"/>
      <c r="J50" s="327"/>
      <c r="K50" s="327"/>
      <c r="L50" s="327"/>
      <c r="M50" s="327"/>
      <c r="N50" s="327"/>
    </row>
    <row r="51" spans="1:14">
      <c r="A51" s="396"/>
      <c r="B51" s="40" t="s">
        <v>331</v>
      </c>
      <c r="C51" s="41">
        <v>0</v>
      </c>
      <c r="D51" s="41">
        <v>0</v>
      </c>
      <c r="E51" s="41">
        <v>0</v>
      </c>
      <c r="F51" s="41">
        <v>6000</v>
      </c>
      <c r="G51" s="41">
        <v>6000</v>
      </c>
      <c r="H51" s="327"/>
      <c r="I51" s="327"/>
      <c r="J51" s="327"/>
      <c r="K51" s="327"/>
      <c r="L51" s="327"/>
      <c r="M51" s="327"/>
      <c r="N51" s="327"/>
    </row>
    <row r="52" spans="1:14" ht="13" thickBot="1">
      <c r="A52" s="397"/>
      <c r="B52" s="49" t="s">
        <v>55</v>
      </c>
      <c r="C52" s="51"/>
      <c r="D52" s="51">
        <v>0</v>
      </c>
      <c r="E52" s="51">
        <v>0</v>
      </c>
      <c r="F52" s="52">
        <v>12000</v>
      </c>
      <c r="G52" s="52">
        <v>12000</v>
      </c>
      <c r="H52" s="386" t="s">
        <v>307</v>
      </c>
      <c r="I52" s="386"/>
      <c r="J52" s="386"/>
      <c r="K52" s="386"/>
      <c r="L52" s="386"/>
      <c r="M52" s="386"/>
      <c r="N52" s="386"/>
    </row>
    <row r="53" spans="1:14" s="19" customFormat="1">
      <c r="A53" s="394" t="s">
        <v>342</v>
      </c>
      <c r="B53" s="36" t="s">
        <v>155</v>
      </c>
      <c r="C53" s="37">
        <v>90000</v>
      </c>
      <c r="D53" s="37">
        <v>90000</v>
      </c>
      <c r="E53" s="37">
        <v>120000</v>
      </c>
      <c r="F53" s="37">
        <f>E53*1.05</f>
        <v>126000</v>
      </c>
      <c r="G53" s="37">
        <f>F53*1.05</f>
        <v>132300</v>
      </c>
      <c r="H53" s="388" t="s">
        <v>87</v>
      </c>
      <c r="I53" s="388"/>
      <c r="J53" s="388"/>
      <c r="K53" s="388"/>
      <c r="L53" s="388"/>
      <c r="M53" s="388"/>
      <c r="N53" s="388"/>
    </row>
    <row r="54" spans="1:14" s="19" customFormat="1">
      <c r="A54" s="394"/>
      <c r="B54" s="38" t="s">
        <v>332</v>
      </c>
      <c r="C54" s="39">
        <v>9600</v>
      </c>
      <c r="D54" s="39">
        <v>9600</v>
      </c>
      <c r="E54" s="39">
        <v>9600</v>
      </c>
      <c r="F54" s="39">
        <v>9600</v>
      </c>
      <c r="G54" s="39">
        <v>9600</v>
      </c>
      <c r="H54" s="139" t="s">
        <v>333</v>
      </c>
      <c r="I54" s="139"/>
      <c r="J54" s="139"/>
      <c r="K54" s="139"/>
      <c r="L54" s="139"/>
      <c r="M54" s="139"/>
      <c r="N54" s="139"/>
    </row>
    <row r="55" spans="1:14" s="19" customFormat="1">
      <c r="A55" s="394"/>
      <c r="B55" s="38" t="s">
        <v>334</v>
      </c>
      <c r="C55" s="39">
        <v>12000</v>
      </c>
      <c r="D55" s="39">
        <v>12000</v>
      </c>
      <c r="E55" s="39">
        <v>12000</v>
      </c>
      <c r="F55" s="39">
        <v>12000</v>
      </c>
      <c r="G55" s="39">
        <v>12000</v>
      </c>
      <c r="H55" s="327" t="s">
        <v>335</v>
      </c>
      <c r="I55" s="327"/>
      <c r="J55" s="327"/>
      <c r="K55" s="327"/>
      <c r="L55" s="327"/>
      <c r="M55" s="327"/>
      <c r="N55" s="327"/>
    </row>
    <row r="56" spans="1:14" s="19" customFormat="1">
      <c r="A56" s="394"/>
      <c r="B56" s="38" t="s">
        <v>156</v>
      </c>
      <c r="C56" s="39">
        <v>12000</v>
      </c>
      <c r="D56" s="39">
        <v>24000</v>
      </c>
      <c r="E56" s="39">
        <v>24000</v>
      </c>
      <c r="F56" s="39">
        <v>24000</v>
      </c>
      <c r="G56" s="39">
        <v>24000</v>
      </c>
      <c r="H56" s="139"/>
      <c r="I56" s="139"/>
      <c r="J56" s="139"/>
      <c r="K56" s="139"/>
      <c r="L56" s="139"/>
      <c r="M56" s="139"/>
      <c r="N56" s="139"/>
    </row>
    <row r="57" spans="1:14" s="19" customFormat="1">
      <c r="A57" s="394"/>
      <c r="B57" s="38" t="s">
        <v>10</v>
      </c>
      <c r="C57" s="39">
        <v>0</v>
      </c>
      <c r="D57" s="39">
        <v>0</v>
      </c>
      <c r="E57" s="39">
        <f>E53*0.15</f>
        <v>18000</v>
      </c>
      <c r="F57" s="39">
        <f>F53*0.15</f>
        <v>18900</v>
      </c>
      <c r="G57" s="39">
        <f>G53*0.15</f>
        <v>19845</v>
      </c>
      <c r="H57" s="388" t="s">
        <v>88</v>
      </c>
      <c r="I57" s="388"/>
      <c r="J57" s="388"/>
      <c r="K57" s="388"/>
      <c r="L57" s="388"/>
      <c r="M57" s="388"/>
      <c r="N57" s="388"/>
    </row>
    <row r="58" spans="1:14">
      <c r="A58" s="394"/>
      <c r="B58" s="22" t="s">
        <v>5</v>
      </c>
      <c r="C58" s="9">
        <v>5000</v>
      </c>
      <c r="D58" s="9">
        <v>7000</v>
      </c>
      <c r="E58" s="9">
        <v>8000</v>
      </c>
      <c r="F58" s="9">
        <v>9000</v>
      </c>
      <c r="G58" s="9">
        <v>10000</v>
      </c>
      <c r="H58" s="383"/>
      <c r="I58" s="383"/>
      <c r="J58" s="383"/>
      <c r="K58" s="383"/>
      <c r="L58" s="383"/>
      <c r="M58" s="383"/>
      <c r="N58" s="383"/>
    </row>
    <row r="59" spans="1:14">
      <c r="A59" s="394"/>
      <c r="B59" s="22" t="s">
        <v>20</v>
      </c>
      <c r="C59" s="9">
        <v>10000</v>
      </c>
      <c r="D59" s="9">
        <v>12000</v>
      </c>
      <c r="E59" s="9">
        <v>15000</v>
      </c>
      <c r="F59" s="9">
        <v>15000</v>
      </c>
      <c r="G59" s="9">
        <v>20000</v>
      </c>
      <c r="H59" s="383"/>
      <c r="I59" s="383"/>
      <c r="J59" s="383"/>
      <c r="K59" s="383"/>
      <c r="L59" s="383"/>
      <c r="M59" s="383"/>
      <c r="N59" s="383"/>
    </row>
    <row r="60" spans="1:14">
      <c r="A60" s="394"/>
      <c r="B60" s="22" t="s">
        <v>7</v>
      </c>
      <c r="C60" s="9">
        <v>2000</v>
      </c>
      <c r="D60" s="9">
        <v>3000</v>
      </c>
      <c r="E60" s="9">
        <v>3000</v>
      </c>
      <c r="F60" s="9">
        <v>6000</v>
      </c>
      <c r="G60" s="9">
        <v>6000</v>
      </c>
      <c r="H60" s="386" t="s">
        <v>21</v>
      </c>
      <c r="I60" s="386"/>
      <c r="J60" s="386"/>
      <c r="K60" s="386"/>
      <c r="L60" s="386"/>
      <c r="M60" s="386"/>
      <c r="N60" s="386"/>
    </row>
    <row r="61" spans="1:14">
      <c r="A61" s="394"/>
      <c r="B61" s="22" t="s">
        <v>8</v>
      </c>
      <c r="C61" s="9">
        <v>2000</v>
      </c>
      <c r="D61" s="9">
        <v>2000</v>
      </c>
      <c r="E61" s="9">
        <v>2000</v>
      </c>
      <c r="F61" s="9">
        <v>2000</v>
      </c>
      <c r="G61" s="9">
        <v>2000</v>
      </c>
      <c r="H61" s="383"/>
      <c r="I61" s="383"/>
      <c r="J61" s="383"/>
      <c r="K61" s="383"/>
      <c r="L61" s="383"/>
      <c r="M61" s="383"/>
      <c r="N61" s="383"/>
    </row>
    <row r="62" spans="1:14">
      <c r="A62" s="394"/>
      <c r="B62" s="22" t="s">
        <v>75</v>
      </c>
      <c r="C62" s="9">
        <v>500</v>
      </c>
      <c r="D62" s="9">
        <v>2000</v>
      </c>
      <c r="E62" s="9">
        <v>2000</v>
      </c>
      <c r="F62" s="9">
        <v>3000</v>
      </c>
      <c r="G62" s="9">
        <v>4000</v>
      </c>
      <c r="H62" s="383"/>
      <c r="I62" s="383"/>
      <c r="J62" s="383"/>
      <c r="K62" s="383"/>
      <c r="L62" s="383"/>
      <c r="M62" s="383"/>
      <c r="N62" s="383"/>
    </row>
    <row r="63" spans="1:14">
      <c r="A63" s="394"/>
      <c r="B63" s="22" t="s">
        <v>54</v>
      </c>
      <c r="C63" s="9">
        <v>2000</v>
      </c>
      <c r="D63" s="9">
        <v>3000</v>
      </c>
      <c r="E63" s="9">
        <v>3000</v>
      </c>
      <c r="F63" s="9">
        <v>3000</v>
      </c>
      <c r="G63" s="9">
        <v>3000</v>
      </c>
      <c r="H63" s="383"/>
      <c r="I63" s="383"/>
      <c r="J63" s="383"/>
      <c r="K63" s="383"/>
      <c r="L63" s="383"/>
      <c r="M63" s="383"/>
      <c r="N63" s="383"/>
    </row>
    <row r="64" spans="1:14" ht="13" thickBot="1">
      <c r="A64" s="395"/>
      <c r="B64" s="29" t="s">
        <v>9</v>
      </c>
      <c r="C64" s="30">
        <v>12000</v>
      </c>
      <c r="D64" s="30">
        <v>18000</v>
      </c>
      <c r="E64" s="30">
        <v>24000</v>
      </c>
      <c r="F64" s="30">
        <v>24000</v>
      </c>
      <c r="G64" s="30">
        <v>36000</v>
      </c>
      <c r="H64" s="386" t="s">
        <v>316</v>
      </c>
      <c r="I64" s="386"/>
      <c r="J64" s="386"/>
      <c r="K64" s="386"/>
      <c r="L64" s="386"/>
      <c r="M64" s="386"/>
      <c r="N64" s="386"/>
    </row>
    <row r="65" spans="1:14" ht="13" thickBot="1">
      <c r="A65" s="269" t="s">
        <v>252</v>
      </c>
      <c r="B65" s="270" t="s">
        <v>253</v>
      </c>
      <c r="C65" s="271">
        <f>SUM('Debt repayments'!C16:C27)</f>
        <v>0</v>
      </c>
      <c r="D65" s="271">
        <f>SUM('Debt repayments'!C28:C39)</f>
        <v>0</v>
      </c>
      <c r="E65" s="271">
        <f>SUM('Debt repayments'!C40:C51)</f>
        <v>0</v>
      </c>
      <c r="F65" s="271">
        <f>SUM('Debt repayments'!C52:C63)</f>
        <v>0</v>
      </c>
      <c r="G65" s="271">
        <f>SUM('Debt repayments'!C64:C76)</f>
        <v>0</v>
      </c>
      <c r="H65" s="326" t="s">
        <v>357</v>
      </c>
      <c r="I65" s="168"/>
      <c r="J65" s="168"/>
      <c r="K65" s="168"/>
      <c r="L65" s="168"/>
      <c r="M65" s="168"/>
      <c r="N65" s="168"/>
    </row>
    <row r="66" spans="1:14" ht="13" thickBot="1">
      <c r="A66" s="71"/>
      <c r="B66" s="72" t="s">
        <v>42</v>
      </c>
      <c r="C66" s="73">
        <f>C10*0.02</f>
        <v>10200</v>
      </c>
      <c r="D66" s="73">
        <f>D10*0.02</f>
        <v>18966</v>
      </c>
      <c r="E66" s="73">
        <f>E10*0.02</f>
        <v>31950.336000000003</v>
      </c>
      <c r="F66" s="73">
        <f>F10*0.015</f>
        <v>46792.832625000003</v>
      </c>
      <c r="G66" s="73">
        <f>G10*0.015</f>
        <v>87533.812308000008</v>
      </c>
      <c r="H66" s="383" t="s">
        <v>21</v>
      </c>
      <c r="I66" s="383"/>
      <c r="J66" s="383"/>
      <c r="K66" s="383"/>
      <c r="L66" s="383"/>
      <c r="M66" s="383"/>
      <c r="N66" s="383"/>
    </row>
    <row r="67" spans="1:14">
      <c r="A67" s="85"/>
      <c r="B67" s="86" t="s">
        <v>3</v>
      </c>
      <c r="C67" s="87">
        <f>(C10-SUM(C17:C66))+C16</f>
        <v>-77712.954780000029</v>
      </c>
      <c r="D67" s="87">
        <f>(D10-SUM(D17:D66))+D16</f>
        <v>-24083.037087799981</v>
      </c>
      <c r="E67" s="87">
        <f>(E10-SUM(E17:E66))+E16</f>
        <v>79104.305557241198</v>
      </c>
      <c r="F67" s="87">
        <f>(F10-SUM(F17:F66))+F16</f>
        <v>280371.340086143</v>
      </c>
      <c r="G67" s="88">
        <f>(G10-SUM(G17:G66))+G16</f>
        <v>732760.97853274178</v>
      </c>
      <c r="H67" s="385" t="s">
        <v>296</v>
      </c>
      <c r="I67" s="386"/>
      <c r="J67" s="386"/>
      <c r="K67" s="386"/>
      <c r="L67" s="386"/>
      <c r="M67" s="386"/>
      <c r="N67" s="386"/>
    </row>
    <row r="68" spans="1:14" s="18" customFormat="1" ht="13" thickBot="1">
      <c r="A68" s="89"/>
      <c r="B68" s="89" t="s">
        <v>6</v>
      </c>
      <c r="C68" s="90">
        <f>C67/(C10+C16)</f>
        <v>-0.15237834270588241</v>
      </c>
      <c r="D68" s="90">
        <f>D67/(D10+D16)</f>
        <v>-2.539601084867656E-2</v>
      </c>
      <c r="E68" s="323">
        <f>E67/(E10+E16)</f>
        <v>4.9517041421562012E-2</v>
      </c>
      <c r="F68" s="323">
        <f>F67/(F10+F16)</f>
        <v>8.9876373482148109E-2</v>
      </c>
      <c r="G68" s="91">
        <f>G67/(G10+G16)</f>
        <v>0.12556764509828833</v>
      </c>
      <c r="H68" s="389" t="s">
        <v>292</v>
      </c>
      <c r="I68" s="390"/>
      <c r="J68" s="390"/>
      <c r="K68" s="390"/>
      <c r="L68" s="390"/>
      <c r="M68" s="390"/>
      <c r="N68" s="390"/>
    </row>
    <row r="69" spans="1:14">
      <c r="A69" s="85"/>
      <c r="B69" s="85" t="s">
        <v>11</v>
      </c>
      <c r="C69" s="92">
        <v>25000</v>
      </c>
      <c r="D69" s="92">
        <v>25000</v>
      </c>
      <c r="E69" s="92">
        <v>25000</v>
      </c>
      <c r="F69" s="92">
        <v>25000</v>
      </c>
      <c r="G69" s="92">
        <v>25000</v>
      </c>
      <c r="H69" s="383"/>
      <c r="I69" s="383"/>
      <c r="J69" s="383"/>
      <c r="K69" s="383"/>
      <c r="L69" s="383"/>
      <c r="M69" s="383"/>
      <c r="N69" s="383"/>
    </row>
    <row r="70" spans="1:14" s="18" customFormat="1" ht="13" thickBot="1">
      <c r="A70" s="89"/>
      <c r="B70" s="89" t="s">
        <v>43</v>
      </c>
      <c r="C70" s="93">
        <v>2000</v>
      </c>
      <c r="D70" s="93">
        <v>2000</v>
      </c>
      <c r="E70" s="93">
        <v>2000</v>
      </c>
      <c r="F70" s="93">
        <v>2000</v>
      </c>
      <c r="G70" s="93">
        <v>2000</v>
      </c>
      <c r="H70" s="387"/>
      <c r="I70" s="387"/>
      <c r="J70" s="387"/>
      <c r="K70" s="387"/>
      <c r="L70" s="387"/>
      <c r="M70" s="387"/>
      <c r="N70" s="387"/>
    </row>
    <row r="71" spans="1:14">
      <c r="A71" s="94"/>
      <c r="B71" s="95" t="s">
        <v>68</v>
      </c>
      <c r="C71" s="96">
        <f>C67-C69</f>
        <v>-102712.95478000003</v>
      </c>
      <c r="D71" s="96">
        <f>D67-D69</f>
        <v>-49083.037087799981</v>
      </c>
      <c r="E71" s="96">
        <f>E67-E69</f>
        <v>54104.305557241198</v>
      </c>
      <c r="F71" s="96">
        <f>F67-F69</f>
        <v>255371.340086143</v>
      </c>
      <c r="G71" s="96">
        <f>G67-G69</f>
        <v>707760.97853274178</v>
      </c>
      <c r="H71" s="386" t="s">
        <v>89</v>
      </c>
      <c r="I71" s="386"/>
      <c r="J71" s="386"/>
      <c r="K71" s="386"/>
      <c r="L71" s="386"/>
      <c r="M71" s="386"/>
      <c r="N71" s="386"/>
    </row>
    <row r="72" spans="1:14" ht="13" thickBot="1">
      <c r="A72" s="97"/>
      <c r="B72" s="89" t="s">
        <v>69</v>
      </c>
      <c r="C72" s="98">
        <f>C71/C10</f>
        <v>-0.20139795054901966</v>
      </c>
      <c r="D72" s="99">
        <f>D71/D10</f>
        <v>-5.1758976155014215E-2</v>
      </c>
      <c r="E72" s="99">
        <f>E71/E10</f>
        <v>3.3867753727060142E-2</v>
      </c>
      <c r="F72" s="99">
        <f>F71/F10</f>
        <v>8.1862325625604179E-2</v>
      </c>
      <c r="G72" s="100">
        <f>G71/G10</f>
        <v>0.12128358628590037</v>
      </c>
      <c r="H72" s="383"/>
      <c r="I72" s="383"/>
      <c r="J72" s="383"/>
      <c r="K72" s="383"/>
      <c r="L72" s="383"/>
      <c r="M72" s="383"/>
      <c r="N72" s="383"/>
    </row>
    <row r="73" spans="1:14" s="20" customFormat="1">
      <c r="A73" s="101"/>
      <c r="B73" s="101" t="s">
        <v>56</v>
      </c>
      <c r="C73" s="102">
        <v>6</v>
      </c>
      <c r="D73" s="103">
        <v>7</v>
      </c>
      <c r="E73" s="103">
        <v>9</v>
      </c>
      <c r="F73" s="103">
        <v>14</v>
      </c>
      <c r="G73" s="104">
        <v>16</v>
      </c>
      <c r="H73" s="392" t="s">
        <v>21</v>
      </c>
      <c r="I73" s="392"/>
      <c r="J73" s="392"/>
      <c r="K73" s="392"/>
      <c r="L73" s="392"/>
      <c r="M73" s="392"/>
      <c r="N73" s="392"/>
    </row>
    <row r="74" spans="1:14">
      <c r="A74" s="79"/>
      <c r="B74" s="79"/>
      <c r="C74" s="105"/>
      <c r="D74" s="105"/>
      <c r="E74" s="105"/>
      <c r="F74" s="105"/>
      <c r="G74" s="105"/>
      <c r="H74" s="383"/>
      <c r="I74" s="383"/>
      <c r="J74" s="383"/>
      <c r="K74" s="383"/>
      <c r="L74" s="383"/>
      <c r="M74" s="383"/>
      <c r="N74" s="383"/>
    </row>
    <row r="75" spans="1:14" s="16" customFormat="1">
      <c r="A75" s="106"/>
      <c r="B75" s="106" t="s">
        <v>70</v>
      </c>
      <c r="C75" s="107">
        <f>C3*100</f>
        <v>170000</v>
      </c>
      <c r="D75" s="107">
        <f>D3*100</f>
        <v>300000</v>
      </c>
      <c r="E75" s="107">
        <f>E3*100</f>
        <v>480000</v>
      </c>
      <c r="F75" s="107">
        <f>F3*100</f>
        <v>900000</v>
      </c>
      <c r="G75" s="107">
        <f>G3*100</f>
        <v>1600000</v>
      </c>
      <c r="H75" s="384"/>
      <c r="I75" s="384"/>
      <c r="J75" s="384"/>
      <c r="K75" s="384"/>
      <c r="L75" s="384"/>
      <c r="M75" s="384"/>
      <c r="N75" s="384"/>
    </row>
    <row r="76" spans="1:14" s="16" customFormat="1">
      <c r="A76" s="106"/>
      <c r="B76" s="106" t="s">
        <v>76</v>
      </c>
      <c r="C76" s="107">
        <f>C75+(C11*100)</f>
        <v>170000</v>
      </c>
      <c r="D76" s="107">
        <f>D75+(D11*100)</f>
        <v>300000</v>
      </c>
      <c r="E76" s="107">
        <f>E75+(E11*100)</f>
        <v>480000</v>
      </c>
      <c r="F76" s="107">
        <f>F75+(F11*100)</f>
        <v>900000</v>
      </c>
      <c r="G76" s="107">
        <f>G75+(G11*100)</f>
        <v>1600000</v>
      </c>
      <c r="H76" s="386" t="s">
        <v>90</v>
      </c>
      <c r="I76" s="388"/>
      <c r="J76" s="388"/>
      <c r="K76" s="388"/>
      <c r="L76" s="388"/>
      <c r="M76" s="388"/>
      <c r="N76" s="388"/>
    </row>
    <row r="77" spans="1:14" s="21" customFormat="1">
      <c r="A77" s="108"/>
      <c r="B77" s="109" t="s">
        <v>12</v>
      </c>
      <c r="C77" s="110"/>
      <c r="D77" s="110">
        <f>(D75-C75)/C75</f>
        <v>0.76470588235294112</v>
      </c>
      <c r="E77" s="324">
        <f>(E75-D75)/D75</f>
        <v>0.6</v>
      </c>
      <c r="F77" s="324">
        <f t="shared" ref="F77:G77" si="8">(F75-E75)/E75</f>
        <v>0.875</v>
      </c>
      <c r="G77" s="110">
        <f t="shared" si="8"/>
        <v>0.77777777777777779</v>
      </c>
      <c r="H77" s="393" t="s">
        <v>290</v>
      </c>
      <c r="I77" s="393"/>
      <c r="J77" s="393"/>
      <c r="K77" s="393"/>
      <c r="L77" s="393"/>
      <c r="M77" s="393"/>
      <c r="N77" s="393"/>
    </row>
    <row r="78" spans="1:14">
      <c r="A78" s="79"/>
      <c r="B78" s="111" t="s">
        <v>13</v>
      </c>
      <c r="C78" s="112">
        <f>(C76/2400)/52</f>
        <v>1.362179487179487</v>
      </c>
      <c r="D78" s="112">
        <f>(D76/2400)/52</f>
        <v>2.4038461538461537</v>
      </c>
      <c r="E78" s="112">
        <f>(E76/2400)/52</f>
        <v>3.8461538461538463</v>
      </c>
      <c r="F78" s="112">
        <f>(F76/2400)/52</f>
        <v>7.2115384615384617</v>
      </c>
      <c r="G78" s="112">
        <f>(G76/2400)/52</f>
        <v>12.820512820512819</v>
      </c>
      <c r="H78" s="388" t="s">
        <v>21</v>
      </c>
      <c r="I78" s="388"/>
      <c r="J78" s="388"/>
      <c r="K78" s="388"/>
      <c r="L78" s="388"/>
      <c r="M78" s="388"/>
      <c r="N78" s="388"/>
    </row>
    <row r="79" spans="1:14">
      <c r="A79" s="79"/>
      <c r="B79" s="79"/>
      <c r="C79" s="105"/>
      <c r="D79" s="105"/>
      <c r="E79" s="105"/>
      <c r="F79" s="105"/>
      <c r="G79" s="105"/>
      <c r="H79" s="383"/>
      <c r="I79" s="383"/>
      <c r="J79" s="383"/>
      <c r="K79" s="383"/>
      <c r="L79" s="383"/>
      <c r="M79" s="383"/>
      <c r="N79" s="383"/>
    </row>
    <row r="80" spans="1:14" s="17" customFormat="1">
      <c r="A80" s="113"/>
      <c r="B80" s="113" t="s">
        <v>28</v>
      </c>
      <c r="C80" s="114">
        <f>(C20+C25+C49+C46+C47)/((C3+C11)*100)</f>
        <v>0.54117647058823526</v>
      </c>
      <c r="D80" s="114">
        <f>(D20+D25+D49+D46+D47)/((D3+D11)*100)</f>
        <v>0.47299999999999998</v>
      </c>
      <c r="E80" s="114">
        <f>(E20+E25+E49+E46+E47)/((E3+E11)*100)</f>
        <v>0.45394791666666667</v>
      </c>
      <c r="F80" s="114">
        <f>(F20+F25+F49+F46+F47)/((F3+F11)*100)</f>
        <v>0.39843305555555558</v>
      </c>
      <c r="G80" s="114">
        <f>(G20+G25+G49+G46+G47)/((G3+G11)*100)</f>
        <v>0.34404327343750002</v>
      </c>
      <c r="H80" s="391" t="s">
        <v>21</v>
      </c>
      <c r="I80" s="391"/>
      <c r="J80" s="391"/>
      <c r="K80" s="391"/>
      <c r="L80" s="391"/>
      <c r="M80" s="391"/>
      <c r="N80" s="391"/>
    </row>
    <row r="81" spans="1:14">
      <c r="A81" s="79"/>
      <c r="B81" s="79"/>
      <c r="C81" s="80"/>
      <c r="D81" s="80"/>
      <c r="E81" s="80"/>
      <c r="F81" s="80"/>
      <c r="G81" s="80"/>
      <c r="H81" s="115"/>
      <c r="I81" s="115"/>
      <c r="J81" s="115"/>
      <c r="K81" s="116"/>
      <c r="L81" s="116"/>
      <c r="M81" s="116"/>
      <c r="N81" s="116"/>
    </row>
    <row r="82" spans="1:14">
      <c r="A82" s="79"/>
      <c r="B82" s="79"/>
      <c r="C82" s="80"/>
      <c r="D82" s="80"/>
      <c r="E82" s="80"/>
      <c r="F82" s="80"/>
      <c r="G82" s="80"/>
      <c r="H82" s="115"/>
      <c r="I82" s="115"/>
      <c r="J82" s="115"/>
      <c r="K82" s="116"/>
      <c r="L82" s="116"/>
      <c r="M82" s="116"/>
      <c r="N82" s="116"/>
    </row>
    <row r="83" spans="1:14">
      <c r="A83" s="79"/>
      <c r="B83" s="79"/>
      <c r="C83" s="80"/>
      <c r="D83" s="80"/>
      <c r="E83" s="80"/>
      <c r="F83" s="80"/>
      <c r="G83" s="80"/>
      <c r="H83" s="115"/>
      <c r="I83" s="115"/>
      <c r="J83" s="115"/>
      <c r="K83" s="116"/>
      <c r="L83" s="116"/>
      <c r="M83" s="116"/>
      <c r="N83" s="116"/>
    </row>
    <row r="84" spans="1:14">
      <c r="A84" s="79"/>
      <c r="B84" s="79"/>
      <c r="C84" s="80"/>
      <c r="D84" s="80"/>
      <c r="E84" s="80"/>
      <c r="F84" s="80"/>
      <c r="G84" s="80"/>
      <c r="H84" s="115"/>
      <c r="I84" s="115"/>
      <c r="J84" s="115"/>
      <c r="K84" s="116"/>
      <c r="L84" s="116"/>
      <c r="M84" s="116"/>
      <c r="N84" s="116"/>
    </row>
    <row r="85" spans="1:14">
      <c r="A85" s="79"/>
      <c r="B85" s="79"/>
      <c r="C85" s="80"/>
      <c r="D85" s="80"/>
      <c r="E85" s="80"/>
      <c r="F85" s="80"/>
      <c r="G85" s="80"/>
      <c r="H85" s="115"/>
      <c r="I85" s="115"/>
      <c r="J85" s="115"/>
      <c r="K85" s="116"/>
      <c r="L85" s="116"/>
      <c r="M85" s="116"/>
      <c r="N85" s="116"/>
    </row>
    <row r="86" spans="1:14">
      <c r="A86" s="79"/>
      <c r="B86" s="79"/>
      <c r="C86" s="80"/>
      <c r="D86" s="80"/>
      <c r="E86" s="80"/>
      <c r="F86" s="80"/>
      <c r="G86" s="80"/>
      <c r="H86" s="115"/>
      <c r="I86" s="115"/>
      <c r="J86" s="115"/>
      <c r="K86" s="116"/>
      <c r="L86" s="116"/>
      <c r="M86" s="116"/>
      <c r="N86" s="116"/>
    </row>
    <row r="87" spans="1:14">
      <c r="A87" s="79"/>
      <c r="B87" s="79"/>
      <c r="C87" s="80"/>
      <c r="D87" s="80"/>
      <c r="E87" s="80"/>
      <c r="F87" s="80"/>
      <c r="G87" s="80"/>
      <c r="H87" s="115"/>
      <c r="I87" s="115"/>
      <c r="J87" s="115"/>
      <c r="K87" s="116"/>
      <c r="L87" s="116"/>
      <c r="M87" s="116"/>
      <c r="N87" s="116"/>
    </row>
    <row r="88" spans="1:14">
      <c r="A88" s="79"/>
      <c r="B88" s="79"/>
      <c r="C88" s="80"/>
      <c r="D88" s="80"/>
      <c r="E88" s="80"/>
      <c r="F88" s="80"/>
      <c r="G88" s="80"/>
      <c r="H88" s="115"/>
      <c r="I88" s="115"/>
      <c r="J88" s="115"/>
      <c r="K88" s="116"/>
      <c r="L88" s="116"/>
      <c r="M88" s="116"/>
      <c r="N88" s="116"/>
    </row>
    <row r="89" spans="1:14">
      <c r="A89" s="79"/>
      <c r="B89" s="79"/>
      <c r="C89" s="80"/>
      <c r="D89" s="80"/>
      <c r="E89" s="80"/>
      <c r="F89" s="80"/>
      <c r="G89" s="80"/>
      <c r="H89" s="115"/>
      <c r="I89" s="115"/>
      <c r="J89" s="115"/>
      <c r="K89" s="116"/>
      <c r="L89" s="116"/>
      <c r="M89" s="116"/>
      <c r="N89" s="116"/>
    </row>
  </sheetData>
  <sheetProtection algorithmName="SHA-512" hashValue="/QtWe/M0eQ0b4gG7OQ76nVywYxv/N51hWgBQ7qHaXV4xFYt/JBn42dA9pgShN8ZkxWC0GkWfsht0IjfmhQ8BxA==" saltValue="mkMrdXnBkSB+CUl7T6TsMA==" spinCount="100000" sheet="1" objects="1" scenarios="1" selectLockedCells="1" selectUnlockedCells="1"/>
  <mergeCells count="75">
    <mergeCell ref="A29:A33"/>
    <mergeCell ref="H5:N8"/>
    <mergeCell ref="H40:N40"/>
    <mergeCell ref="A34:A35"/>
    <mergeCell ref="A11:A16"/>
    <mergeCell ref="A20:A28"/>
    <mergeCell ref="H18:N18"/>
    <mergeCell ref="H19:N19"/>
    <mergeCell ref="H20:N20"/>
    <mergeCell ref="H22:N22"/>
    <mergeCell ref="H34:N34"/>
    <mergeCell ref="H35:N35"/>
    <mergeCell ref="H33:N33"/>
    <mergeCell ref="H30:N30"/>
    <mergeCell ref="A18:A19"/>
    <mergeCell ref="H2:N2"/>
    <mergeCell ref="H4:N4"/>
    <mergeCell ref="H28:N28"/>
    <mergeCell ref="H21:N21"/>
    <mergeCell ref="H11:N13"/>
    <mergeCell ref="H14:N16"/>
    <mergeCell ref="H3:N3"/>
    <mergeCell ref="H9:N10"/>
    <mergeCell ref="A3:A9"/>
    <mergeCell ref="H17:N17"/>
    <mergeCell ref="H32:N32"/>
    <mergeCell ref="H23:N23"/>
    <mergeCell ref="H24:N24"/>
    <mergeCell ref="H25:N25"/>
    <mergeCell ref="H26:N26"/>
    <mergeCell ref="H27:N27"/>
    <mergeCell ref="H29:N29"/>
    <mergeCell ref="H31:N31"/>
    <mergeCell ref="A53:A64"/>
    <mergeCell ref="A46:A52"/>
    <mergeCell ref="H36:N36"/>
    <mergeCell ref="H37:N37"/>
    <mergeCell ref="H38:N38"/>
    <mergeCell ref="H39:N39"/>
    <mergeCell ref="H41:N41"/>
    <mergeCell ref="H47:N47"/>
    <mergeCell ref="A36:A38"/>
    <mergeCell ref="A39:A44"/>
    <mergeCell ref="H45:N45"/>
    <mergeCell ref="H46:N46"/>
    <mergeCell ref="H49:N49"/>
    <mergeCell ref="H52:N52"/>
    <mergeCell ref="H42:N42"/>
    <mergeCell ref="H43:N43"/>
    <mergeCell ref="H71:N71"/>
    <mergeCell ref="H80:N80"/>
    <mergeCell ref="H72:N72"/>
    <mergeCell ref="H73:N73"/>
    <mergeCell ref="H75:N75"/>
    <mergeCell ref="H74:N74"/>
    <mergeCell ref="H76:N76"/>
    <mergeCell ref="H77:N77"/>
    <mergeCell ref="H78:N78"/>
    <mergeCell ref="H79:N79"/>
    <mergeCell ref="H44:N44"/>
    <mergeCell ref="H48:N48"/>
    <mergeCell ref="H67:N67"/>
    <mergeCell ref="H69:N69"/>
    <mergeCell ref="H70:N70"/>
    <mergeCell ref="H53:N53"/>
    <mergeCell ref="H61:N61"/>
    <mergeCell ref="H62:N62"/>
    <mergeCell ref="H63:N63"/>
    <mergeCell ref="H64:N64"/>
    <mergeCell ref="H57:N57"/>
    <mergeCell ref="H58:N58"/>
    <mergeCell ref="H59:N59"/>
    <mergeCell ref="H60:N60"/>
    <mergeCell ref="H68:N68"/>
    <mergeCell ref="H66:N66"/>
  </mergeCells>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S25"/>
  <sheetViews>
    <sheetView workbookViewId="0">
      <selection activeCell="H34" sqref="H34"/>
    </sheetView>
  </sheetViews>
  <sheetFormatPr baseColWidth="10" defaultColWidth="8.83203125" defaultRowHeight="15"/>
  <cols>
    <col min="2" max="2" width="27.1640625" customWidth="1"/>
    <col min="9" max="9" width="8.83203125" style="145"/>
    <col min="14" max="14" width="10.1640625" bestFit="1" customWidth="1"/>
  </cols>
  <sheetData>
    <row r="4" spans="2:19">
      <c r="F4" s="143" t="s">
        <v>108</v>
      </c>
    </row>
    <row r="5" spans="2:19">
      <c r="B5" s="165" t="s">
        <v>104</v>
      </c>
      <c r="C5" s="166">
        <v>19.079999999999998</v>
      </c>
    </row>
    <row r="6" spans="2:19">
      <c r="B6" t="s">
        <v>107</v>
      </c>
      <c r="C6" s="140">
        <v>5.69</v>
      </c>
      <c r="D6" t="s">
        <v>105</v>
      </c>
      <c r="F6" s="143" t="s">
        <v>109</v>
      </c>
      <c r="G6" s="143"/>
      <c r="H6" s="143"/>
      <c r="P6" t="s">
        <v>135</v>
      </c>
    </row>
    <row r="7" spans="2:19">
      <c r="B7" t="s">
        <v>106</v>
      </c>
      <c r="C7" s="140">
        <v>8.42</v>
      </c>
    </row>
    <row r="8" spans="2:19">
      <c r="F8" s="142">
        <v>0.5</v>
      </c>
      <c r="G8" t="s">
        <v>110</v>
      </c>
      <c r="I8" s="145" t="s">
        <v>287</v>
      </c>
      <c r="J8" s="146">
        <f>C11*F8</f>
        <v>9.9120599999999985</v>
      </c>
      <c r="L8" s="143" t="s">
        <v>289</v>
      </c>
      <c r="M8" s="322">
        <f>C13*F8</f>
        <v>10.700276923259999</v>
      </c>
      <c r="R8" s="154" t="s">
        <v>127</v>
      </c>
    </row>
    <row r="9" spans="2:19">
      <c r="B9" t="s">
        <v>117</v>
      </c>
      <c r="C9" s="149">
        <v>3.9E-2</v>
      </c>
      <c r="I9" s="145" t="s">
        <v>288</v>
      </c>
      <c r="J9" s="321">
        <f>C12*F8</f>
        <v>10.298630339999999</v>
      </c>
      <c r="P9" s="415" t="s">
        <v>126</v>
      </c>
      <c r="Q9" s="415"/>
      <c r="R9" s="153">
        <v>4.5999999999999996</v>
      </c>
      <c r="S9" s="155">
        <v>0.5</v>
      </c>
    </row>
    <row r="10" spans="2:19">
      <c r="F10" s="143" t="s">
        <v>111</v>
      </c>
      <c r="G10" s="143"/>
      <c r="H10" s="143"/>
      <c r="P10" s="415" t="s">
        <v>128</v>
      </c>
      <c r="Q10" s="415"/>
      <c r="R10" s="153">
        <v>5.0999999999999996</v>
      </c>
      <c r="S10" s="155">
        <v>0.2</v>
      </c>
    </row>
    <row r="11" spans="2:19">
      <c r="B11" t="s">
        <v>118</v>
      </c>
      <c r="C11" s="140">
        <f>C5+(C5*C9)</f>
        <v>19.824119999999997</v>
      </c>
      <c r="P11" s="415" t="s">
        <v>129</v>
      </c>
      <c r="Q11" s="415"/>
      <c r="R11" s="153">
        <v>4</v>
      </c>
      <c r="S11" s="155">
        <v>0.15</v>
      </c>
    </row>
    <row r="12" spans="2:19">
      <c r="B12" t="s">
        <v>119</v>
      </c>
      <c r="C12" s="140">
        <f>C11+(C11*C9)</f>
        <v>20.597260679999998</v>
      </c>
      <c r="F12" s="141" t="s">
        <v>112</v>
      </c>
      <c r="I12" s="145" t="s">
        <v>25</v>
      </c>
      <c r="J12" s="147">
        <v>8000</v>
      </c>
      <c r="K12">
        <v>2500</v>
      </c>
      <c r="L12" s="140" t="s">
        <v>21</v>
      </c>
      <c r="M12" t="s">
        <v>115</v>
      </c>
      <c r="N12" s="144">
        <f>(J12-K12)*C14/J12</f>
        <v>15.286683119492317</v>
      </c>
      <c r="P12" s="415" t="s">
        <v>130</v>
      </c>
      <c r="Q12" s="415"/>
      <c r="R12" s="153">
        <v>6.8</v>
      </c>
      <c r="S12" s="155">
        <v>0.1</v>
      </c>
    </row>
    <row r="13" spans="2:19">
      <c r="B13" t="s">
        <v>120</v>
      </c>
      <c r="C13" s="140">
        <f>C12+(C12*C9)</f>
        <v>21.400553846519998</v>
      </c>
      <c r="G13" t="s">
        <v>113</v>
      </c>
      <c r="I13" s="145" t="s">
        <v>26</v>
      </c>
      <c r="J13">
        <v>12000</v>
      </c>
      <c r="K13">
        <v>2500</v>
      </c>
      <c r="M13" t="s">
        <v>115</v>
      </c>
      <c r="N13" s="144">
        <f>(J13-K13)*C15/J13</f>
        <v>18.289358270418049</v>
      </c>
      <c r="P13" s="415" t="s">
        <v>132</v>
      </c>
      <c r="Q13" s="415"/>
      <c r="R13" s="153">
        <v>5.8</v>
      </c>
      <c r="S13" s="155">
        <v>0.05</v>
      </c>
    </row>
    <row r="14" spans="2:19">
      <c r="B14" t="s">
        <v>121</v>
      </c>
      <c r="C14" s="140">
        <f>C13+(C13*C9)</f>
        <v>22.235175446534278</v>
      </c>
      <c r="I14" s="145" t="s">
        <v>21</v>
      </c>
      <c r="J14">
        <v>25000</v>
      </c>
      <c r="K14">
        <v>2500</v>
      </c>
      <c r="M14" t="s">
        <v>115</v>
      </c>
      <c r="N14" s="144">
        <f>(J14-K14)*C14/J14</f>
        <v>20.011657901880852</v>
      </c>
      <c r="R14" s="152"/>
    </row>
    <row r="15" spans="2:19">
      <c r="B15" t="s">
        <v>122</v>
      </c>
      <c r="C15" s="140">
        <f>C14+(C14*C9)</f>
        <v>23.102347288949115</v>
      </c>
      <c r="F15" s="151" t="s">
        <v>114</v>
      </c>
      <c r="R15" s="157" t="s">
        <v>131</v>
      </c>
      <c r="S15" s="156">
        <f>SUM(S9:S14)</f>
        <v>1</v>
      </c>
    </row>
    <row r="17" spans="6:18">
      <c r="P17" t="s">
        <v>133</v>
      </c>
      <c r="R17" s="145">
        <f>(R9*S9)+(R10*S10)+(R11*S11)+(R12*S12)+(R13*S13)</f>
        <v>4.8899999999999997</v>
      </c>
    </row>
    <row r="18" spans="6:18">
      <c r="F18" s="143" t="s">
        <v>123</v>
      </c>
      <c r="G18" s="143"/>
      <c r="H18" s="143"/>
    </row>
    <row r="20" spans="6:18">
      <c r="F20" s="150" t="s">
        <v>124</v>
      </c>
      <c r="G20" s="143"/>
      <c r="H20" s="143"/>
      <c r="J20" s="143"/>
      <c r="K20" s="143"/>
      <c r="L20" s="143"/>
    </row>
    <row r="21" spans="6:18">
      <c r="F21" s="143"/>
      <c r="G21" s="143" t="s">
        <v>21</v>
      </c>
      <c r="H21" s="414" t="s">
        <v>125</v>
      </c>
      <c r="I21" s="414"/>
      <c r="J21" s="143"/>
      <c r="K21" s="143"/>
      <c r="L21" s="143"/>
    </row>
    <row r="23" spans="6:18">
      <c r="I23" s="145" t="s">
        <v>116</v>
      </c>
      <c r="J23">
        <v>39000</v>
      </c>
      <c r="K23">
        <v>2500</v>
      </c>
      <c r="L23" s="148">
        <v>8.3299999999999999E-2</v>
      </c>
      <c r="M23" t="s">
        <v>115</v>
      </c>
      <c r="N23" s="144">
        <f>(J23-(K23-(J23-J25*L23))*C15)/J23</f>
        <v>21.1411002608092</v>
      </c>
    </row>
    <row r="25" spans="6:18">
      <c r="J25">
        <v>30000</v>
      </c>
    </row>
  </sheetData>
  <sheetProtection algorithmName="SHA-512" hashValue="xnmT5jW5E1S7x5ZTrX+Gx/0Bb+vKVRgOZqJG5rTGjYKpEhiCxsABvgN0/nZtkCqqVjJCvYksPQsm2egvrN128w==" saltValue="E8x+sGmBZ/bH8CgBFvvkGA==" spinCount="100000" sheet="1" objects="1" scenarios="1" selectLockedCells="1" selectUnlockedCells="1"/>
  <mergeCells count="6">
    <mergeCell ref="H21:I21"/>
    <mergeCell ref="P9:Q9"/>
    <mergeCell ref="P10:Q10"/>
    <mergeCell ref="P11:Q11"/>
    <mergeCell ref="P12:Q12"/>
    <mergeCell ref="P13:Q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7"/>
  <sheetViews>
    <sheetView workbookViewId="0">
      <selection activeCell="G20" sqref="G20"/>
    </sheetView>
  </sheetViews>
  <sheetFormatPr baseColWidth="10" defaultColWidth="8.83203125" defaultRowHeight="15"/>
  <cols>
    <col min="1" max="8" width="15.1640625" customWidth="1"/>
  </cols>
  <sheetData>
    <row r="1" spans="1:8">
      <c r="A1" t="s">
        <v>237</v>
      </c>
      <c r="B1" s="263">
        <v>0</v>
      </c>
    </row>
    <row r="2" spans="1:8">
      <c r="A2" t="s">
        <v>238</v>
      </c>
      <c r="B2" s="264">
        <v>5.5E-2</v>
      </c>
    </row>
    <row r="3" spans="1:8">
      <c r="A3" t="s">
        <v>239</v>
      </c>
      <c r="B3">
        <f>5*12</f>
        <v>60</v>
      </c>
    </row>
    <row r="4" spans="1:8">
      <c r="A4" t="s">
        <v>240</v>
      </c>
      <c r="B4" s="265">
        <f>ROUND(PMT($B$2/12,$B$3,-$B$1),2)</f>
        <v>0</v>
      </c>
    </row>
    <row r="6" spans="1:8">
      <c r="A6" t="s">
        <v>241</v>
      </c>
      <c r="B6" s="263">
        <f>B4*B3</f>
        <v>0</v>
      </c>
    </row>
    <row r="7" spans="1:8">
      <c r="A7" t="s">
        <v>242</v>
      </c>
      <c r="B7" s="263">
        <f>B1</f>
        <v>0</v>
      </c>
    </row>
    <row r="8" spans="1:8">
      <c r="A8" t="s">
        <v>243</v>
      </c>
      <c r="B8" s="263">
        <f>B6-B7</f>
        <v>0</v>
      </c>
    </row>
    <row r="15" spans="1:8" ht="30">
      <c r="A15" s="266" t="s">
        <v>244</v>
      </c>
      <c r="B15" s="266" t="s">
        <v>245</v>
      </c>
      <c r="C15" s="266" t="s">
        <v>246</v>
      </c>
      <c r="D15" s="266" t="s">
        <v>247</v>
      </c>
      <c r="E15" s="266" t="s">
        <v>248</v>
      </c>
      <c r="F15" s="266" t="s">
        <v>249</v>
      </c>
      <c r="G15" s="266" t="s">
        <v>250</v>
      </c>
      <c r="H15" s="266" t="s">
        <v>251</v>
      </c>
    </row>
    <row r="16" spans="1:8">
      <c r="A16" s="267">
        <v>43131</v>
      </c>
      <c r="B16" s="268">
        <f>B1</f>
        <v>0</v>
      </c>
      <c r="C16" s="268">
        <f t="shared" ref="C16:C75" si="0">IF(B16&gt;$B$4,$B$4,B16)</f>
        <v>0</v>
      </c>
      <c r="D16" s="268">
        <f>C16-E16</f>
        <v>0</v>
      </c>
      <c r="E16" s="268">
        <f>B16*$B$2/12</f>
        <v>0</v>
      </c>
      <c r="F16" s="268">
        <f>IF(ROUND(B16,0)=0,0,SUM($D$16:D16))</f>
        <v>0</v>
      </c>
      <c r="G16" s="268">
        <f>IF(F16=0,0,SUM($E$16:E16))</f>
        <v>0</v>
      </c>
      <c r="H16" s="268">
        <f>B16-D16</f>
        <v>0</v>
      </c>
    </row>
    <row r="17" spans="1:8">
      <c r="A17" s="267">
        <v>43159</v>
      </c>
      <c r="B17" s="268">
        <f>IF(H16&gt;0,H16,0)</f>
        <v>0</v>
      </c>
      <c r="C17" s="268">
        <f t="shared" si="0"/>
        <v>0</v>
      </c>
      <c r="D17" s="268">
        <f>C17-E17</f>
        <v>0</v>
      </c>
      <c r="E17" s="268">
        <f t="shared" ref="E17:E80" si="1">B17*$B$2/12</f>
        <v>0</v>
      </c>
      <c r="F17" s="268">
        <f>IF(ROUND(B17,0)=0,0,SUM($D$16:D17))</f>
        <v>0</v>
      </c>
      <c r="G17" s="268">
        <f>IF(F17=0,0,SUM($E$16:E17))</f>
        <v>0</v>
      </c>
      <c r="H17" s="268">
        <f t="shared" ref="H17:H80" si="2">B17-D17</f>
        <v>0</v>
      </c>
    </row>
    <row r="18" spans="1:8">
      <c r="A18" s="267">
        <v>43190</v>
      </c>
      <c r="B18" s="268">
        <f t="shared" ref="B18:B76" si="3">IF(H17&gt;0,H17,0)</f>
        <v>0</v>
      </c>
      <c r="C18" s="268">
        <f t="shared" si="0"/>
        <v>0</v>
      </c>
      <c r="D18" s="268">
        <f t="shared" ref="D18:D81" si="4">C18-E18</f>
        <v>0</v>
      </c>
      <c r="E18" s="268">
        <f t="shared" si="1"/>
        <v>0</v>
      </c>
      <c r="F18" s="268">
        <f>IF(ROUND(B18,0)=0,0,SUM($D$16:D18))</f>
        <v>0</v>
      </c>
      <c r="G18" s="268">
        <f>IF(F18=0,0,SUM($E$16:E18))</f>
        <v>0</v>
      </c>
      <c r="H18" s="268">
        <f t="shared" si="2"/>
        <v>0</v>
      </c>
    </row>
    <row r="19" spans="1:8">
      <c r="A19" s="267">
        <v>43220</v>
      </c>
      <c r="B19" s="268">
        <f t="shared" si="3"/>
        <v>0</v>
      </c>
      <c r="C19" s="268">
        <f t="shared" si="0"/>
        <v>0</v>
      </c>
      <c r="D19" s="268">
        <f t="shared" si="4"/>
        <v>0</v>
      </c>
      <c r="E19" s="268">
        <f t="shared" si="1"/>
        <v>0</v>
      </c>
      <c r="F19" s="268">
        <f>IF(ROUND(B19,0)=0,0,SUM($D$16:D19))</f>
        <v>0</v>
      </c>
      <c r="G19" s="268">
        <f>IF(F19=0,0,SUM($E$16:E19))</f>
        <v>0</v>
      </c>
      <c r="H19" s="268">
        <f t="shared" si="2"/>
        <v>0</v>
      </c>
    </row>
    <row r="20" spans="1:8">
      <c r="A20" s="267">
        <v>43251</v>
      </c>
      <c r="B20" s="268">
        <f t="shared" si="3"/>
        <v>0</v>
      </c>
      <c r="C20" s="268">
        <f t="shared" si="0"/>
        <v>0</v>
      </c>
      <c r="D20" s="268">
        <f t="shared" si="4"/>
        <v>0</v>
      </c>
      <c r="E20" s="268">
        <f t="shared" si="1"/>
        <v>0</v>
      </c>
      <c r="F20" s="268">
        <f>IF(ROUND(B20,0)=0,0,SUM($D$16:D20))</f>
        <v>0</v>
      </c>
      <c r="G20" s="268">
        <f>IF(F20=0,0,SUM($E$16:E20))</f>
        <v>0</v>
      </c>
      <c r="H20" s="268">
        <f t="shared" si="2"/>
        <v>0</v>
      </c>
    </row>
    <row r="21" spans="1:8">
      <c r="A21" s="267">
        <v>43281</v>
      </c>
      <c r="B21" s="268">
        <f t="shared" si="3"/>
        <v>0</v>
      </c>
      <c r="C21" s="268">
        <f t="shared" si="0"/>
        <v>0</v>
      </c>
      <c r="D21" s="268">
        <f t="shared" si="4"/>
        <v>0</v>
      </c>
      <c r="E21" s="268">
        <f t="shared" si="1"/>
        <v>0</v>
      </c>
      <c r="F21" s="268">
        <f>IF(ROUND(B21,0)=0,0,SUM($D$16:D21))</f>
        <v>0</v>
      </c>
      <c r="G21" s="268">
        <f>IF(F21=0,0,SUM($E$16:E21))</f>
        <v>0</v>
      </c>
      <c r="H21" s="268">
        <f t="shared" si="2"/>
        <v>0</v>
      </c>
    </row>
    <row r="22" spans="1:8">
      <c r="A22" s="267">
        <v>43312</v>
      </c>
      <c r="B22" s="268">
        <f t="shared" si="3"/>
        <v>0</v>
      </c>
      <c r="C22" s="268">
        <f t="shared" si="0"/>
        <v>0</v>
      </c>
      <c r="D22" s="268">
        <f t="shared" si="4"/>
        <v>0</v>
      </c>
      <c r="E22" s="268">
        <f t="shared" si="1"/>
        <v>0</v>
      </c>
      <c r="F22" s="268">
        <f>IF(ROUND(B22,0)=0,0,SUM($D$16:D22))</f>
        <v>0</v>
      </c>
      <c r="G22" s="268">
        <f>IF(F22=0,0,SUM($E$16:E22))</f>
        <v>0</v>
      </c>
      <c r="H22" s="268">
        <f t="shared" si="2"/>
        <v>0</v>
      </c>
    </row>
    <row r="23" spans="1:8">
      <c r="A23" s="267">
        <v>43343</v>
      </c>
      <c r="B23" s="268">
        <f t="shared" si="3"/>
        <v>0</v>
      </c>
      <c r="C23" s="268">
        <f t="shared" si="0"/>
        <v>0</v>
      </c>
      <c r="D23" s="268">
        <f t="shared" si="4"/>
        <v>0</v>
      </c>
      <c r="E23" s="268">
        <f t="shared" si="1"/>
        <v>0</v>
      </c>
      <c r="F23" s="268">
        <f>IF(ROUND(B23,0)=0,0,SUM($D$16:D23))</f>
        <v>0</v>
      </c>
      <c r="G23" s="268">
        <f>IF(F23=0,0,SUM($E$16:E23))</f>
        <v>0</v>
      </c>
      <c r="H23" s="268">
        <f t="shared" si="2"/>
        <v>0</v>
      </c>
    </row>
    <row r="24" spans="1:8">
      <c r="A24" s="267">
        <v>43373</v>
      </c>
      <c r="B24" s="268">
        <f t="shared" si="3"/>
        <v>0</v>
      </c>
      <c r="C24" s="268">
        <f t="shared" si="0"/>
        <v>0</v>
      </c>
      <c r="D24" s="268">
        <f t="shared" si="4"/>
        <v>0</v>
      </c>
      <c r="E24" s="268">
        <f t="shared" si="1"/>
        <v>0</v>
      </c>
      <c r="F24" s="268">
        <f>IF(ROUND(B24,0)=0,0,SUM($D$16:D24))</f>
        <v>0</v>
      </c>
      <c r="G24" s="268">
        <f>IF(F24=0,0,SUM($E$16:E24))</f>
        <v>0</v>
      </c>
      <c r="H24" s="268">
        <f t="shared" si="2"/>
        <v>0</v>
      </c>
    </row>
    <row r="25" spans="1:8">
      <c r="A25" s="274">
        <v>43404</v>
      </c>
      <c r="B25" s="268">
        <f t="shared" si="3"/>
        <v>0</v>
      </c>
      <c r="C25" s="268">
        <f t="shared" si="0"/>
        <v>0</v>
      </c>
      <c r="D25" s="268">
        <f t="shared" si="4"/>
        <v>0</v>
      </c>
      <c r="E25" s="268">
        <f t="shared" si="1"/>
        <v>0</v>
      </c>
      <c r="F25" s="268">
        <f>IF(ROUND(B25,0)=0,0,SUM($D$16:D25))</f>
        <v>0</v>
      </c>
      <c r="G25" s="268">
        <f>IF(F25=0,0,SUM($E$16:E25))</f>
        <v>0</v>
      </c>
      <c r="H25" s="268">
        <f t="shared" si="2"/>
        <v>0</v>
      </c>
    </row>
    <row r="26" spans="1:8">
      <c r="A26" s="274">
        <v>43434</v>
      </c>
      <c r="B26" s="268">
        <f t="shared" si="3"/>
        <v>0</v>
      </c>
      <c r="C26" s="268">
        <f t="shared" si="0"/>
        <v>0</v>
      </c>
      <c r="D26" s="268">
        <f t="shared" si="4"/>
        <v>0</v>
      </c>
      <c r="E26" s="268">
        <f t="shared" si="1"/>
        <v>0</v>
      </c>
      <c r="F26" s="268">
        <f>IF(ROUND(B26,0)=0,0,SUM($D$16:D26))</f>
        <v>0</v>
      </c>
      <c r="G26" s="273">
        <f>IF(F26=0,0,SUM($E$16:E26))</f>
        <v>0</v>
      </c>
      <c r="H26" s="273">
        <f t="shared" si="2"/>
        <v>0</v>
      </c>
    </row>
    <row r="27" spans="1:8" ht="16" thickBot="1">
      <c r="A27" s="272">
        <v>43465</v>
      </c>
      <c r="B27" s="273">
        <f t="shared" si="3"/>
        <v>0</v>
      </c>
      <c r="C27" s="273">
        <f t="shared" si="0"/>
        <v>0</v>
      </c>
      <c r="D27" s="273">
        <f t="shared" si="4"/>
        <v>0</v>
      </c>
      <c r="E27" s="273">
        <f t="shared" si="1"/>
        <v>0</v>
      </c>
      <c r="F27" s="273">
        <f>IF(ROUND(B27,0)=0,0,SUM($D$16:D27))</f>
        <v>0</v>
      </c>
      <c r="G27" s="273">
        <f>IF(F27=0,0,SUM($E$16:E27))</f>
        <v>0</v>
      </c>
      <c r="H27" s="273">
        <f t="shared" si="2"/>
        <v>0</v>
      </c>
    </row>
    <row r="28" spans="1:8">
      <c r="A28" s="267">
        <v>43496</v>
      </c>
      <c r="B28" s="268">
        <f t="shared" si="3"/>
        <v>0</v>
      </c>
      <c r="C28" s="268">
        <f t="shared" si="0"/>
        <v>0</v>
      </c>
      <c r="D28" s="268">
        <f t="shared" si="4"/>
        <v>0</v>
      </c>
      <c r="E28" s="268">
        <f t="shared" si="1"/>
        <v>0</v>
      </c>
      <c r="F28" s="268">
        <f>IF(ROUND(B28,0)=0,0,SUM($D$16:D28))</f>
        <v>0</v>
      </c>
      <c r="G28" s="268">
        <f>IF(F28=0,0,SUM($E$16:E28))</f>
        <v>0</v>
      </c>
      <c r="H28" s="268">
        <f t="shared" si="2"/>
        <v>0</v>
      </c>
    </row>
    <row r="29" spans="1:8">
      <c r="A29" s="267">
        <v>43524</v>
      </c>
      <c r="B29" s="268">
        <f t="shared" si="3"/>
        <v>0</v>
      </c>
      <c r="C29" s="268">
        <f t="shared" si="0"/>
        <v>0</v>
      </c>
      <c r="D29" s="268">
        <f t="shared" si="4"/>
        <v>0</v>
      </c>
      <c r="E29" s="268">
        <f t="shared" si="1"/>
        <v>0</v>
      </c>
      <c r="F29" s="268">
        <f>IF(ROUND(B29,0)=0,0,SUM($D$16:D29))</f>
        <v>0</v>
      </c>
      <c r="G29" s="268">
        <f>IF(F29=0,0,SUM($E$16:E29))</f>
        <v>0</v>
      </c>
      <c r="H29" s="268">
        <f t="shared" si="2"/>
        <v>0</v>
      </c>
    </row>
    <row r="30" spans="1:8">
      <c r="A30" s="267">
        <v>43555</v>
      </c>
      <c r="B30" s="268">
        <f t="shared" si="3"/>
        <v>0</v>
      </c>
      <c r="C30" s="268">
        <f t="shared" si="0"/>
        <v>0</v>
      </c>
      <c r="D30" s="268">
        <f t="shared" si="4"/>
        <v>0</v>
      </c>
      <c r="E30" s="268">
        <f t="shared" si="1"/>
        <v>0</v>
      </c>
      <c r="F30" s="268">
        <f>IF(ROUND(B30,0)=0,0,SUM($D$16:D30))</f>
        <v>0</v>
      </c>
      <c r="G30" s="268">
        <f>IF(F30=0,0,SUM($E$16:E30))</f>
        <v>0</v>
      </c>
      <c r="H30" s="268">
        <f t="shared" si="2"/>
        <v>0</v>
      </c>
    </row>
    <row r="31" spans="1:8">
      <c r="A31" s="267">
        <v>43585</v>
      </c>
      <c r="B31" s="268">
        <f t="shared" si="3"/>
        <v>0</v>
      </c>
      <c r="C31" s="268">
        <f t="shared" si="0"/>
        <v>0</v>
      </c>
      <c r="D31" s="268">
        <f t="shared" si="4"/>
        <v>0</v>
      </c>
      <c r="E31" s="268">
        <f t="shared" si="1"/>
        <v>0</v>
      </c>
      <c r="F31" s="268">
        <f>IF(ROUND(B31,0)=0,0,SUM($D$16:D31))</f>
        <v>0</v>
      </c>
      <c r="G31" s="268">
        <f>IF(F31=0,0,SUM($E$16:E31))</f>
        <v>0</v>
      </c>
      <c r="H31" s="268">
        <f t="shared" si="2"/>
        <v>0</v>
      </c>
    </row>
    <row r="32" spans="1:8">
      <c r="A32" s="267">
        <v>43616</v>
      </c>
      <c r="B32" s="268">
        <f t="shared" si="3"/>
        <v>0</v>
      </c>
      <c r="C32" s="268">
        <f t="shared" si="0"/>
        <v>0</v>
      </c>
      <c r="D32" s="268">
        <f t="shared" si="4"/>
        <v>0</v>
      </c>
      <c r="E32" s="268">
        <f t="shared" si="1"/>
        <v>0</v>
      </c>
      <c r="F32" s="268">
        <f>IF(ROUND(B32,0)=0,0,SUM($D$16:D32))</f>
        <v>0</v>
      </c>
      <c r="G32" s="268">
        <f>IF(F32=0,0,SUM($E$16:E32))</f>
        <v>0</v>
      </c>
      <c r="H32" s="268">
        <f t="shared" si="2"/>
        <v>0</v>
      </c>
    </row>
    <row r="33" spans="1:8">
      <c r="A33" s="267">
        <v>43646</v>
      </c>
      <c r="B33" s="268">
        <f t="shared" si="3"/>
        <v>0</v>
      </c>
      <c r="C33" s="268">
        <f t="shared" si="0"/>
        <v>0</v>
      </c>
      <c r="D33" s="268">
        <f t="shared" si="4"/>
        <v>0</v>
      </c>
      <c r="E33" s="268">
        <f t="shared" si="1"/>
        <v>0</v>
      </c>
      <c r="F33" s="268">
        <f>IF(ROUND(B33,0)=0,0,SUM($D$16:D33))</f>
        <v>0</v>
      </c>
      <c r="G33" s="268">
        <f>IF(F33=0,0,SUM($E$16:E33))</f>
        <v>0</v>
      </c>
      <c r="H33" s="268">
        <f t="shared" si="2"/>
        <v>0</v>
      </c>
    </row>
    <row r="34" spans="1:8">
      <c r="A34" s="267">
        <v>43677</v>
      </c>
      <c r="B34" s="268">
        <f t="shared" si="3"/>
        <v>0</v>
      </c>
      <c r="C34" s="268">
        <f t="shared" si="0"/>
        <v>0</v>
      </c>
      <c r="D34" s="268">
        <f t="shared" si="4"/>
        <v>0</v>
      </c>
      <c r="E34" s="268">
        <f t="shared" si="1"/>
        <v>0</v>
      </c>
      <c r="F34" s="268">
        <f>IF(ROUND(B34,0)=0,0,SUM($D$16:D34))</f>
        <v>0</v>
      </c>
      <c r="G34" s="268">
        <f>IF(F34=0,0,SUM($E$16:E34))</f>
        <v>0</v>
      </c>
      <c r="H34" s="268">
        <f t="shared" si="2"/>
        <v>0</v>
      </c>
    </row>
    <row r="35" spans="1:8">
      <c r="A35" s="267">
        <v>43708</v>
      </c>
      <c r="B35" s="268">
        <f t="shared" si="3"/>
        <v>0</v>
      </c>
      <c r="C35" s="268">
        <f t="shared" si="0"/>
        <v>0</v>
      </c>
      <c r="D35" s="268">
        <f t="shared" si="4"/>
        <v>0</v>
      </c>
      <c r="E35" s="268">
        <f t="shared" si="1"/>
        <v>0</v>
      </c>
      <c r="F35" s="268">
        <f>IF(ROUND(B35,0)=0,0,SUM($D$16:D35))</f>
        <v>0</v>
      </c>
      <c r="G35" s="268">
        <f>IF(F35=0,0,SUM($E$16:E35))</f>
        <v>0</v>
      </c>
      <c r="H35" s="268">
        <f t="shared" si="2"/>
        <v>0</v>
      </c>
    </row>
    <row r="36" spans="1:8">
      <c r="A36" s="267">
        <v>43738</v>
      </c>
      <c r="B36" s="268">
        <f t="shared" si="3"/>
        <v>0</v>
      </c>
      <c r="C36" s="268">
        <f t="shared" si="0"/>
        <v>0</v>
      </c>
      <c r="D36" s="268">
        <f t="shared" si="4"/>
        <v>0</v>
      </c>
      <c r="E36" s="268">
        <f t="shared" si="1"/>
        <v>0</v>
      </c>
      <c r="F36" s="268">
        <f>IF(ROUND(B36,0)=0,0,SUM($D$16:D36))</f>
        <v>0</v>
      </c>
      <c r="G36" s="268">
        <f>IF(F36=0,0,SUM($E$16:E36))</f>
        <v>0</v>
      </c>
      <c r="H36" s="268">
        <f t="shared" si="2"/>
        <v>0</v>
      </c>
    </row>
    <row r="37" spans="1:8">
      <c r="A37" s="267">
        <v>43769</v>
      </c>
      <c r="B37" s="268">
        <f t="shared" si="3"/>
        <v>0</v>
      </c>
      <c r="C37" s="268">
        <f t="shared" si="0"/>
        <v>0</v>
      </c>
      <c r="D37" s="268">
        <f t="shared" si="4"/>
        <v>0</v>
      </c>
      <c r="E37" s="268">
        <f t="shared" si="1"/>
        <v>0</v>
      </c>
      <c r="F37" s="268">
        <f>IF(ROUND(B37,0)=0,0,SUM($D$16:D37))</f>
        <v>0</v>
      </c>
      <c r="G37" s="268">
        <f>IF(F37=0,0,SUM($E$16:E37))</f>
        <v>0</v>
      </c>
      <c r="H37" s="268">
        <f t="shared" si="2"/>
        <v>0</v>
      </c>
    </row>
    <row r="38" spans="1:8">
      <c r="A38" s="274">
        <v>43799</v>
      </c>
      <c r="B38" s="273">
        <f t="shared" si="3"/>
        <v>0</v>
      </c>
      <c r="C38" s="268">
        <f t="shared" si="0"/>
        <v>0</v>
      </c>
      <c r="D38" s="273">
        <f t="shared" si="4"/>
        <v>0</v>
      </c>
      <c r="E38" s="268">
        <f t="shared" si="1"/>
        <v>0</v>
      </c>
      <c r="F38" s="268">
        <f>IF(ROUND(B38,0)=0,0,SUM($D$16:D38))</f>
        <v>0</v>
      </c>
      <c r="G38" s="268">
        <f>IF(F38=0,0,SUM($E$16:E38))</f>
        <v>0</v>
      </c>
      <c r="H38" s="268">
        <f t="shared" si="2"/>
        <v>0</v>
      </c>
    </row>
    <row r="39" spans="1:8" ht="16" thickBot="1">
      <c r="A39" s="272">
        <v>43830</v>
      </c>
      <c r="B39" s="273">
        <f t="shared" si="3"/>
        <v>0</v>
      </c>
      <c r="C39" s="273">
        <f t="shared" si="0"/>
        <v>0</v>
      </c>
      <c r="D39" s="273">
        <f t="shared" si="4"/>
        <v>0</v>
      </c>
      <c r="E39" s="273">
        <f t="shared" si="1"/>
        <v>0</v>
      </c>
      <c r="F39" s="268">
        <f>IF(ROUND(B39,0)=0,0,SUM($D$16:D39))</f>
        <v>0</v>
      </c>
      <c r="G39" s="268">
        <f>IF(F39=0,0,SUM($E$16:E39))</f>
        <v>0</v>
      </c>
      <c r="H39" s="268">
        <f t="shared" si="2"/>
        <v>0</v>
      </c>
    </row>
    <row r="40" spans="1:8">
      <c r="A40" s="267">
        <v>43861</v>
      </c>
      <c r="B40" s="268">
        <f t="shared" si="3"/>
        <v>0</v>
      </c>
      <c r="C40" s="273">
        <f t="shared" si="0"/>
        <v>0</v>
      </c>
      <c r="D40" s="268">
        <f t="shared" si="4"/>
        <v>0</v>
      </c>
      <c r="E40" s="268">
        <f t="shared" si="1"/>
        <v>0</v>
      </c>
      <c r="F40" s="268">
        <f>IF(ROUND(B40,0)=0,0,SUM($D$16:D40))</f>
        <v>0</v>
      </c>
      <c r="G40" s="268">
        <f>IF(F40=0,0,SUM($E$16:E40))</f>
        <v>0</v>
      </c>
      <c r="H40" s="268">
        <f t="shared" si="2"/>
        <v>0</v>
      </c>
    </row>
    <row r="41" spans="1:8">
      <c r="A41" s="267">
        <v>43890</v>
      </c>
      <c r="B41" s="268">
        <f t="shared" si="3"/>
        <v>0</v>
      </c>
      <c r="C41" s="268">
        <f t="shared" si="0"/>
        <v>0</v>
      </c>
      <c r="D41" s="268">
        <f t="shared" si="4"/>
        <v>0</v>
      </c>
      <c r="E41" s="268">
        <f t="shared" si="1"/>
        <v>0</v>
      </c>
      <c r="F41" s="268">
        <f>IF(ROUND(B41,0)=0,0,SUM($D$16:D41))</f>
        <v>0</v>
      </c>
      <c r="G41" s="268">
        <f>IF(F41=0,0,SUM($E$16:E41))</f>
        <v>0</v>
      </c>
      <c r="H41" s="268">
        <f t="shared" si="2"/>
        <v>0</v>
      </c>
    </row>
    <row r="42" spans="1:8">
      <c r="A42" s="267">
        <v>43921</v>
      </c>
      <c r="B42" s="268">
        <f t="shared" si="3"/>
        <v>0</v>
      </c>
      <c r="C42" s="268">
        <f t="shared" si="0"/>
        <v>0</v>
      </c>
      <c r="D42" s="268">
        <f t="shared" si="4"/>
        <v>0</v>
      </c>
      <c r="E42" s="268">
        <f t="shared" si="1"/>
        <v>0</v>
      </c>
      <c r="F42" s="268">
        <f>IF(ROUND(B42,0)=0,0,SUM($D$16:D42))</f>
        <v>0</v>
      </c>
      <c r="G42" s="268">
        <f>IF(F42=0,0,SUM($E$16:E42))</f>
        <v>0</v>
      </c>
      <c r="H42" s="268">
        <f t="shared" si="2"/>
        <v>0</v>
      </c>
    </row>
    <row r="43" spans="1:8">
      <c r="A43" s="267">
        <v>43951</v>
      </c>
      <c r="B43" s="268">
        <f t="shared" si="3"/>
        <v>0</v>
      </c>
      <c r="C43" s="268">
        <f t="shared" si="0"/>
        <v>0</v>
      </c>
      <c r="D43" s="268">
        <f t="shared" si="4"/>
        <v>0</v>
      </c>
      <c r="E43" s="268">
        <f t="shared" si="1"/>
        <v>0</v>
      </c>
      <c r="F43" s="268">
        <f>IF(ROUND(B43,0)=0,0,SUM($D$16:D43))</f>
        <v>0</v>
      </c>
      <c r="G43" s="268">
        <f>IF(F43=0,0,SUM($E$16:E43))</f>
        <v>0</v>
      </c>
      <c r="H43" s="268">
        <f t="shared" si="2"/>
        <v>0</v>
      </c>
    </row>
    <row r="44" spans="1:8">
      <c r="A44" s="267">
        <v>43982</v>
      </c>
      <c r="B44" s="268">
        <f t="shared" si="3"/>
        <v>0</v>
      </c>
      <c r="C44" s="268">
        <f t="shared" si="0"/>
        <v>0</v>
      </c>
      <c r="D44" s="268">
        <f t="shared" si="4"/>
        <v>0</v>
      </c>
      <c r="E44" s="268">
        <f t="shared" si="1"/>
        <v>0</v>
      </c>
      <c r="F44" s="268">
        <f>IF(ROUND(B44,0)=0,0,SUM($D$16:D44))</f>
        <v>0</v>
      </c>
      <c r="G44" s="268">
        <f>IF(F44=0,0,SUM($E$16:E44))</f>
        <v>0</v>
      </c>
      <c r="H44" s="268">
        <f t="shared" si="2"/>
        <v>0</v>
      </c>
    </row>
    <row r="45" spans="1:8">
      <c r="A45" s="267">
        <v>44012</v>
      </c>
      <c r="B45" s="268">
        <f t="shared" si="3"/>
        <v>0</v>
      </c>
      <c r="C45" s="268">
        <f t="shared" si="0"/>
        <v>0</v>
      </c>
      <c r="D45" s="268">
        <f t="shared" si="4"/>
        <v>0</v>
      </c>
      <c r="E45" s="268">
        <f t="shared" si="1"/>
        <v>0</v>
      </c>
      <c r="F45" s="268">
        <f>IF(ROUND(B45,0)=0,0,SUM($D$16:D45))</f>
        <v>0</v>
      </c>
      <c r="G45" s="268">
        <f>IF(F45=0,0,SUM($E$16:E45))</f>
        <v>0</v>
      </c>
      <c r="H45" s="268">
        <f t="shared" si="2"/>
        <v>0</v>
      </c>
    </row>
    <row r="46" spans="1:8">
      <c r="A46" s="267">
        <v>44043</v>
      </c>
      <c r="B46" s="268">
        <f t="shared" si="3"/>
        <v>0</v>
      </c>
      <c r="C46" s="268">
        <f t="shared" si="0"/>
        <v>0</v>
      </c>
      <c r="D46" s="268">
        <f t="shared" si="4"/>
        <v>0</v>
      </c>
      <c r="E46" s="268">
        <f t="shared" si="1"/>
        <v>0</v>
      </c>
      <c r="F46" s="268">
        <f>IF(ROUND(B46,0)=0,0,SUM($D$16:D46))</f>
        <v>0</v>
      </c>
      <c r="G46" s="268">
        <f>IF(F46=0,0,SUM($E$16:E46))</f>
        <v>0</v>
      </c>
      <c r="H46" s="268">
        <f t="shared" si="2"/>
        <v>0</v>
      </c>
    </row>
    <row r="47" spans="1:8">
      <c r="A47" s="267">
        <v>44074</v>
      </c>
      <c r="B47" s="268">
        <f t="shared" si="3"/>
        <v>0</v>
      </c>
      <c r="C47" s="268">
        <f t="shared" si="0"/>
        <v>0</v>
      </c>
      <c r="D47" s="268">
        <f t="shared" si="4"/>
        <v>0</v>
      </c>
      <c r="E47" s="268">
        <f t="shared" si="1"/>
        <v>0</v>
      </c>
      <c r="F47" s="268">
        <f>IF(ROUND(B47,0)=0,0,SUM($D$16:D47))</f>
        <v>0</v>
      </c>
      <c r="G47" s="268">
        <f>IF(F47=0,0,SUM($E$16:E47))</f>
        <v>0</v>
      </c>
      <c r="H47" s="268">
        <f t="shared" si="2"/>
        <v>0</v>
      </c>
    </row>
    <row r="48" spans="1:8">
      <c r="A48" s="267">
        <v>44104</v>
      </c>
      <c r="B48" s="268">
        <f t="shared" si="3"/>
        <v>0</v>
      </c>
      <c r="C48" s="268">
        <f t="shared" si="0"/>
        <v>0</v>
      </c>
      <c r="D48" s="268">
        <f t="shared" si="4"/>
        <v>0</v>
      </c>
      <c r="E48" s="268">
        <f t="shared" si="1"/>
        <v>0</v>
      </c>
      <c r="F48" s="268">
        <f>IF(ROUND(B48,0)=0,0,SUM($D$16:D48))</f>
        <v>0</v>
      </c>
      <c r="G48" s="268">
        <f>IF(F48=0,0,SUM($E$16:E48))</f>
        <v>0</v>
      </c>
      <c r="H48" s="268">
        <f t="shared" si="2"/>
        <v>0</v>
      </c>
    </row>
    <row r="49" spans="1:8">
      <c r="A49" s="267">
        <v>44135</v>
      </c>
      <c r="B49" s="268">
        <f t="shared" si="3"/>
        <v>0</v>
      </c>
      <c r="C49" s="268">
        <f t="shared" si="0"/>
        <v>0</v>
      </c>
      <c r="D49" s="268">
        <f t="shared" si="4"/>
        <v>0</v>
      </c>
      <c r="E49" s="268">
        <f t="shared" si="1"/>
        <v>0</v>
      </c>
      <c r="F49" s="268">
        <f>IF(ROUND(B49,0)=0,0,SUM($D$16:D49))</f>
        <v>0</v>
      </c>
      <c r="G49" s="268">
        <f>IF(F49=0,0,SUM($E$16:E49))</f>
        <v>0</v>
      </c>
      <c r="H49" s="268">
        <f t="shared" si="2"/>
        <v>0</v>
      </c>
    </row>
    <row r="50" spans="1:8">
      <c r="A50" s="274">
        <v>44165</v>
      </c>
      <c r="B50" s="268">
        <f t="shared" si="3"/>
        <v>0</v>
      </c>
      <c r="C50" s="268">
        <f t="shared" si="0"/>
        <v>0</v>
      </c>
      <c r="D50" s="268">
        <f t="shared" si="4"/>
        <v>0</v>
      </c>
      <c r="E50" s="268">
        <f t="shared" si="1"/>
        <v>0</v>
      </c>
      <c r="F50" s="268">
        <f>IF(ROUND(B50,0)=0,0,SUM($D$16:D50))</f>
        <v>0</v>
      </c>
      <c r="G50" s="268">
        <f>IF(F50=0,0,SUM($E$16:E50))</f>
        <v>0</v>
      </c>
      <c r="H50" s="268">
        <f t="shared" si="2"/>
        <v>0</v>
      </c>
    </row>
    <row r="51" spans="1:8" ht="16" thickBot="1">
      <c r="A51" s="272">
        <v>44196</v>
      </c>
      <c r="B51" s="268">
        <f t="shared" si="3"/>
        <v>0</v>
      </c>
      <c r="C51" s="268">
        <f t="shared" si="0"/>
        <v>0</v>
      </c>
      <c r="D51" s="268">
        <f t="shared" si="4"/>
        <v>0</v>
      </c>
      <c r="E51" s="268">
        <f t="shared" si="1"/>
        <v>0</v>
      </c>
      <c r="F51" s="268">
        <f>IF(ROUND(B51,0)=0,0,SUM($D$16:D51))</f>
        <v>0</v>
      </c>
      <c r="G51" s="268">
        <f>IF(F51=0,0,SUM($E$16:E51))</f>
        <v>0</v>
      </c>
      <c r="H51" s="268">
        <f t="shared" si="2"/>
        <v>0</v>
      </c>
    </row>
    <row r="52" spans="1:8">
      <c r="A52" s="267">
        <v>44227</v>
      </c>
      <c r="B52" s="268">
        <f t="shared" si="3"/>
        <v>0</v>
      </c>
      <c r="C52" s="268">
        <f t="shared" si="0"/>
        <v>0</v>
      </c>
      <c r="D52" s="268">
        <f t="shared" si="4"/>
        <v>0</v>
      </c>
      <c r="E52" s="268">
        <f t="shared" si="1"/>
        <v>0</v>
      </c>
      <c r="F52" s="268">
        <f>IF(ROUND(B52,0)=0,0,SUM($D$16:D52))</f>
        <v>0</v>
      </c>
      <c r="G52" s="268">
        <f>IF(F52=0,0,SUM($E$16:E52))</f>
        <v>0</v>
      </c>
      <c r="H52" s="268">
        <f t="shared" si="2"/>
        <v>0</v>
      </c>
    </row>
    <row r="53" spans="1:8">
      <c r="A53" s="267">
        <v>44255</v>
      </c>
      <c r="B53" s="268">
        <f t="shared" si="3"/>
        <v>0</v>
      </c>
      <c r="C53" s="268">
        <f t="shared" si="0"/>
        <v>0</v>
      </c>
      <c r="D53" s="268">
        <f t="shared" si="4"/>
        <v>0</v>
      </c>
      <c r="E53" s="268">
        <f t="shared" si="1"/>
        <v>0</v>
      </c>
      <c r="F53" s="268">
        <f>IF(ROUND(B53,0)=0,0,SUM($D$16:D53))</f>
        <v>0</v>
      </c>
      <c r="G53" s="268">
        <f>IF(F53=0,0,SUM($E$16:E53))</f>
        <v>0</v>
      </c>
      <c r="H53" s="268">
        <f t="shared" si="2"/>
        <v>0</v>
      </c>
    </row>
    <row r="54" spans="1:8">
      <c r="A54" s="267">
        <v>44286</v>
      </c>
      <c r="B54" s="268">
        <f t="shared" si="3"/>
        <v>0</v>
      </c>
      <c r="C54" s="268">
        <f t="shared" si="0"/>
        <v>0</v>
      </c>
      <c r="D54" s="268">
        <f t="shared" si="4"/>
        <v>0</v>
      </c>
      <c r="E54" s="268">
        <f t="shared" si="1"/>
        <v>0</v>
      </c>
      <c r="F54" s="268">
        <f>IF(ROUND(B54,0)=0,0,SUM($D$16:D54))</f>
        <v>0</v>
      </c>
      <c r="G54" s="268">
        <f>IF(F54=0,0,SUM($E$16:E54))</f>
        <v>0</v>
      </c>
      <c r="H54" s="268">
        <f t="shared" si="2"/>
        <v>0</v>
      </c>
    </row>
    <row r="55" spans="1:8">
      <c r="A55" s="267">
        <v>44316</v>
      </c>
      <c r="B55" s="268">
        <f t="shared" si="3"/>
        <v>0</v>
      </c>
      <c r="C55" s="268">
        <f t="shared" si="0"/>
        <v>0</v>
      </c>
      <c r="D55" s="268">
        <f t="shared" si="4"/>
        <v>0</v>
      </c>
      <c r="E55" s="268">
        <f t="shared" si="1"/>
        <v>0</v>
      </c>
      <c r="F55" s="268">
        <f>IF(ROUND(B55,0)=0,0,SUM($D$16:D55))</f>
        <v>0</v>
      </c>
      <c r="G55" s="268">
        <f>IF(F55=0,0,SUM($E$16:E55))</f>
        <v>0</v>
      </c>
      <c r="H55" s="268">
        <f t="shared" si="2"/>
        <v>0</v>
      </c>
    </row>
    <row r="56" spans="1:8">
      <c r="A56" s="267">
        <v>44347</v>
      </c>
      <c r="B56" s="268">
        <f t="shared" si="3"/>
        <v>0</v>
      </c>
      <c r="C56" s="268">
        <f t="shared" si="0"/>
        <v>0</v>
      </c>
      <c r="D56" s="268">
        <f t="shared" si="4"/>
        <v>0</v>
      </c>
      <c r="E56" s="268">
        <f t="shared" si="1"/>
        <v>0</v>
      </c>
      <c r="F56" s="268">
        <f>IF(ROUND(B56,0)=0,0,SUM($D$16:D56))</f>
        <v>0</v>
      </c>
      <c r="G56" s="268">
        <f>IF(F56=0,0,SUM($E$16:E56))</f>
        <v>0</v>
      </c>
      <c r="H56" s="268">
        <f t="shared" si="2"/>
        <v>0</v>
      </c>
    </row>
    <row r="57" spans="1:8">
      <c r="A57" s="267">
        <v>44377</v>
      </c>
      <c r="B57" s="268">
        <f t="shared" si="3"/>
        <v>0</v>
      </c>
      <c r="C57" s="268">
        <f t="shared" si="0"/>
        <v>0</v>
      </c>
      <c r="D57" s="268">
        <f t="shared" si="4"/>
        <v>0</v>
      </c>
      <c r="E57" s="268">
        <f t="shared" si="1"/>
        <v>0</v>
      </c>
      <c r="F57" s="268">
        <f>IF(ROUND(B57,0)=0,0,SUM($D$16:D57))</f>
        <v>0</v>
      </c>
      <c r="G57" s="268">
        <f>IF(F57=0,0,SUM($E$16:E57))</f>
        <v>0</v>
      </c>
      <c r="H57" s="268">
        <f t="shared" si="2"/>
        <v>0</v>
      </c>
    </row>
    <row r="58" spans="1:8">
      <c r="A58" s="267">
        <v>44408</v>
      </c>
      <c r="B58" s="268">
        <f t="shared" si="3"/>
        <v>0</v>
      </c>
      <c r="C58" s="268">
        <f t="shared" si="0"/>
        <v>0</v>
      </c>
      <c r="D58" s="268">
        <f t="shared" si="4"/>
        <v>0</v>
      </c>
      <c r="E58" s="268">
        <f t="shared" si="1"/>
        <v>0</v>
      </c>
      <c r="F58" s="268">
        <f>IF(ROUND(B58,0)=0,0,SUM($D$16:D58))</f>
        <v>0</v>
      </c>
      <c r="G58" s="268">
        <f>IF(F58=0,0,SUM($E$16:E58))</f>
        <v>0</v>
      </c>
      <c r="H58" s="268">
        <f t="shared" si="2"/>
        <v>0</v>
      </c>
    </row>
    <row r="59" spans="1:8">
      <c r="A59" s="267">
        <v>44439</v>
      </c>
      <c r="B59" s="268">
        <f t="shared" si="3"/>
        <v>0</v>
      </c>
      <c r="C59" s="268">
        <f t="shared" si="0"/>
        <v>0</v>
      </c>
      <c r="D59" s="268">
        <f t="shared" si="4"/>
        <v>0</v>
      </c>
      <c r="E59" s="268">
        <f t="shared" si="1"/>
        <v>0</v>
      </c>
      <c r="F59" s="268">
        <f>IF(ROUND(B59,0)=0,0,SUM($D$16:D59))</f>
        <v>0</v>
      </c>
      <c r="G59" s="268">
        <f>IF(F59=0,0,SUM($E$16:E59))</f>
        <v>0</v>
      </c>
      <c r="H59" s="268">
        <f t="shared" si="2"/>
        <v>0</v>
      </c>
    </row>
    <row r="60" spans="1:8">
      <c r="A60" s="267">
        <v>44469</v>
      </c>
      <c r="B60" s="268">
        <f t="shared" si="3"/>
        <v>0</v>
      </c>
      <c r="C60" s="268">
        <f t="shared" si="0"/>
        <v>0</v>
      </c>
      <c r="D60" s="268">
        <f t="shared" si="4"/>
        <v>0</v>
      </c>
      <c r="E60" s="268">
        <f t="shared" si="1"/>
        <v>0</v>
      </c>
      <c r="F60" s="268">
        <f>IF(ROUND(B60,0)=0,0,SUM($D$16:D60))</f>
        <v>0</v>
      </c>
      <c r="G60" s="268">
        <f>IF(F60=0,0,SUM($E$16:E60))</f>
        <v>0</v>
      </c>
      <c r="H60" s="268">
        <f t="shared" si="2"/>
        <v>0</v>
      </c>
    </row>
    <row r="61" spans="1:8">
      <c r="A61" s="267">
        <v>44500</v>
      </c>
      <c r="B61" s="268">
        <f t="shared" si="3"/>
        <v>0</v>
      </c>
      <c r="C61" s="268">
        <f t="shared" si="0"/>
        <v>0</v>
      </c>
      <c r="D61" s="268">
        <f t="shared" si="4"/>
        <v>0</v>
      </c>
      <c r="E61" s="268">
        <f t="shared" si="1"/>
        <v>0</v>
      </c>
      <c r="F61" s="268">
        <f>IF(ROUND(B61,0)=0,0,SUM($D$16:D61))</f>
        <v>0</v>
      </c>
      <c r="G61" s="268">
        <f>IF(F61=0,0,SUM($E$16:E61))</f>
        <v>0</v>
      </c>
      <c r="H61" s="268">
        <f t="shared" si="2"/>
        <v>0</v>
      </c>
    </row>
    <row r="62" spans="1:8">
      <c r="A62" s="274">
        <v>44530</v>
      </c>
      <c r="B62" s="268">
        <f t="shared" si="3"/>
        <v>0</v>
      </c>
      <c r="C62" s="268">
        <f t="shared" si="0"/>
        <v>0</v>
      </c>
      <c r="D62" s="268">
        <f t="shared" si="4"/>
        <v>0</v>
      </c>
      <c r="E62" s="268">
        <f t="shared" si="1"/>
        <v>0</v>
      </c>
      <c r="F62" s="268">
        <f>IF(ROUND(B62,0)=0,0,SUM($D$16:D62))</f>
        <v>0</v>
      </c>
      <c r="G62" s="268">
        <f>IF(F62=0,0,SUM($E$16:E62))</f>
        <v>0</v>
      </c>
      <c r="H62" s="268">
        <f t="shared" si="2"/>
        <v>0</v>
      </c>
    </row>
    <row r="63" spans="1:8" ht="16" thickBot="1">
      <c r="A63" s="275">
        <v>44561</v>
      </c>
      <c r="B63" s="268">
        <f t="shared" si="3"/>
        <v>0</v>
      </c>
      <c r="C63" s="268">
        <f t="shared" si="0"/>
        <v>0</v>
      </c>
      <c r="D63" s="268">
        <f t="shared" si="4"/>
        <v>0</v>
      </c>
      <c r="E63" s="268">
        <f t="shared" si="1"/>
        <v>0</v>
      </c>
      <c r="F63" s="268">
        <f>IF(ROUND(B63,0)=0,0,SUM($D$16:D63))</f>
        <v>0</v>
      </c>
      <c r="G63" s="268">
        <f>IF(F63=0,0,SUM($E$16:E63))</f>
        <v>0</v>
      </c>
      <c r="H63" s="268">
        <f t="shared" si="2"/>
        <v>0</v>
      </c>
    </row>
    <row r="64" spans="1:8">
      <c r="A64" s="267">
        <v>44592</v>
      </c>
      <c r="B64" s="268">
        <f t="shared" si="3"/>
        <v>0</v>
      </c>
      <c r="C64" s="268">
        <f t="shared" si="0"/>
        <v>0</v>
      </c>
      <c r="D64" s="268">
        <f t="shared" si="4"/>
        <v>0</v>
      </c>
      <c r="E64" s="268">
        <f t="shared" si="1"/>
        <v>0</v>
      </c>
      <c r="F64" s="268">
        <f>IF(ROUND(B64,0)=0,0,SUM($D$16:D64))</f>
        <v>0</v>
      </c>
      <c r="G64" s="268">
        <f>IF(F64=0,0,SUM($E$16:E64))</f>
        <v>0</v>
      </c>
      <c r="H64" s="268">
        <f t="shared" si="2"/>
        <v>0</v>
      </c>
    </row>
    <row r="65" spans="1:8">
      <c r="A65" s="267">
        <v>44620</v>
      </c>
      <c r="B65" s="268">
        <f t="shared" si="3"/>
        <v>0</v>
      </c>
      <c r="C65" s="268">
        <f t="shared" si="0"/>
        <v>0</v>
      </c>
      <c r="D65" s="268">
        <f t="shared" si="4"/>
        <v>0</v>
      </c>
      <c r="E65" s="268">
        <f t="shared" si="1"/>
        <v>0</v>
      </c>
      <c r="F65" s="268">
        <f>IF(ROUND(B65,0)=0,0,SUM($D$16:D65))</f>
        <v>0</v>
      </c>
      <c r="G65" s="268">
        <f>IF(F65=0,0,SUM($E$16:E65))</f>
        <v>0</v>
      </c>
      <c r="H65" s="268">
        <f t="shared" si="2"/>
        <v>0</v>
      </c>
    </row>
    <row r="66" spans="1:8">
      <c r="A66" s="267">
        <v>44651</v>
      </c>
      <c r="B66" s="268">
        <f t="shared" si="3"/>
        <v>0</v>
      </c>
      <c r="C66" s="268">
        <f t="shared" si="0"/>
        <v>0</v>
      </c>
      <c r="D66" s="268">
        <f t="shared" si="4"/>
        <v>0</v>
      </c>
      <c r="E66" s="268">
        <f t="shared" si="1"/>
        <v>0</v>
      </c>
      <c r="F66" s="268">
        <f>IF(ROUND(B66,0)=0,0,SUM($D$16:D66))</f>
        <v>0</v>
      </c>
      <c r="G66" s="268">
        <f>IF(F66=0,0,SUM($E$16:E66))</f>
        <v>0</v>
      </c>
      <c r="H66" s="268">
        <f t="shared" si="2"/>
        <v>0</v>
      </c>
    </row>
    <row r="67" spans="1:8">
      <c r="A67" s="267">
        <v>44681</v>
      </c>
      <c r="B67" s="268">
        <f t="shared" si="3"/>
        <v>0</v>
      </c>
      <c r="C67" s="268">
        <f t="shared" si="0"/>
        <v>0</v>
      </c>
      <c r="D67" s="268">
        <f t="shared" si="4"/>
        <v>0</v>
      </c>
      <c r="E67" s="268">
        <f t="shared" si="1"/>
        <v>0</v>
      </c>
      <c r="F67" s="268">
        <f>IF(ROUND(B67,0)=0,0,SUM($D$16:D67))</f>
        <v>0</v>
      </c>
      <c r="G67" s="268">
        <f>IF(F67=0,0,SUM($E$16:E67))</f>
        <v>0</v>
      </c>
      <c r="H67" s="268">
        <f t="shared" si="2"/>
        <v>0</v>
      </c>
    </row>
    <row r="68" spans="1:8">
      <c r="A68" s="267">
        <v>44712</v>
      </c>
      <c r="B68" s="268">
        <f t="shared" si="3"/>
        <v>0</v>
      </c>
      <c r="C68" s="268">
        <f t="shared" si="0"/>
        <v>0</v>
      </c>
      <c r="D68" s="268">
        <f t="shared" si="4"/>
        <v>0</v>
      </c>
      <c r="E68" s="268">
        <f t="shared" si="1"/>
        <v>0</v>
      </c>
      <c r="F68" s="268">
        <f>IF(ROUND(B68,0)=0,0,SUM($D$16:D68))</f>
        <v>0</v>
      </c>
      <c r="G68" s="268">
        <f>IF(F68=0,0,SUM($E$16:E68))</f>
        <v>0</v>
      </c>
      <c r="H68" s="268">
        <f t="shared" si="2"/>
        <v>0</v>
      </c>
    </row>
    <row r="69" spans="1:8">
      <c r="A69" s="267">
        <v>44742</v>
      </c>
      <c r="B69" s="268">
        <f t="shared" si="3"/>
        <v>0</v>
      </c>
      <c r="C69" s="268">
        <f t="shared" si="0"/>
        <v>0</v>
      </c>
      <c r="D69" s="268">
        <f t="shared" si="4"/>
        <v>0</v>
      </c>
      <c r="E69" s="268">
        <f t="shared" si="1"/>
        <v>0</v>
      </c>
      <c r="F69" s="268">
        <f>IF(ROUND(B69,0)=0,0,SUM($D$16:D69))</f>
        <v>0</v>
      </c>
      <c r="G69" s="268">
        <f>IF(F69=0,0,SUM($E$16:E69))</f>
        <v>0</v>
      </c>
      <c r="H69" s="268">
        <f t="shared" si="2"/>
        <v>0</v>
      </c>
    </row>
    <row r="70" spans="1:8">
      <c r="A70" s="267">
        <v>44773</v>
      </c>
      <c r="B70" s="273">
        <f t="shared" si="3"/>
        <v>0</v>
      </c>
      <c r="C70" s="268">
        <f t="shared" si="0"/>
        <v>0</v>
      </c>
      <c r="D70" s="268">
        <f t="shared" si="4"/>
        <v>0</v>
      </c>
      <c r="E70" s="268">
        <f t="shared" si="1"/>
        <v>0</v>
      </c>
      <c r="F70" s="268">
        <f>IF(ROUND(B70,0)=0,0,SUM($D$16:D70))</f>
        <v>0</v>
      </c>
      <c r="G70" s="268">
        <f>IF(F70=0,0,SUM($E$16:E70))</f>
        <v>0</v>
      </c>
      <c r="H70" s="268">
        <f t="shared" si="2"/>
        <v>0</v>
      </c>
    </row>
    <row r="71" spans="1:8">
      <c r="A71" s="267">
        <v>44804</v>
      </c>
      <c r="B71" s="273">
        <f t="shared" si="3"/>
        <v>0</v>
      </c>
      <c r="C71" s="268">
        <f t="shared" si="0"/>
        <v>0</v>
      </c>
      <c r="D71" s="268">
        <f t="shared" si="4"/>
        <v>0</v>
      </c>
      <c r="E71" s="268">
        <f t="shared" si="1"/>
        <v>0</v>
      </c>
      <c r="F71" s="268">
        <f>IF(ROUND(B71,0)=0,0,SUM($D$16:D71))</f>
        <v>0</v>
      </c>
      <c r="G71" s="268">
        <f>IF(F71=0,0,SUM($E$16:E71))</f>
        <v>0</v>
      </c>
      <c r="H71" s="268">
        <f t="shared" si="2"/>
        <v>0</v>
      </c>
    </row>
    <row r="72" spans="1:8">
      <c r="A72" s="267">
        <v>44834</v>
      </c>
      <c r="B72" s="268">
        <f t="shared" si="3"/>
        <v>0</v>
      </c>
      <c r="C72" s="268">
        <f t="shared" si="0"/>
        <v>0</v>
      </c>
      <c r="D72" s="268">
        <f t="shared" si="4"/>
        <v>0</v>
      </c>
      <c r="E72" s="268">
        <f t="shared" si="1"/>
        <v>0</v>
      </c>
      <c r="F72" s="268">
        <f>IF(ROUND(B72,0)=0,0,SUM($D$16:D72))</f>
        <v>0</v>
      </c>
      <c r="G72" s="268">
        <f>IF(F72=0,0,SUM($E$16:E72))</f>
        <v>0</v>
      </c>
      <c r="H72" s="268">
        <f t="shared" si="2"/>
        <v>0</v>
      </c>
    </row>
    <row r="73" spans="1:8">
      <c r="A73" s="267">
        <v>44865</v>
      </c>
      <c r="B73" s="268">
        <f t="shared" si="3"/>
        <v>0</v>
      </c>
      <c r="C73" s="268">
        <f t="shared" si="0"/>
        <v>0</v>
      </c>
      <c r="D73" s="268">
        <f t="shared" si="4"/>
        <v>0</v>
      </c>
      <c r="E73" s="268">
        <f t="shared" si="1"/>
        <v>0</v>
      </c>
      <c r="F73" s="268">
        <f>IF(ROUND(B73,0)=0,0,SUM($D$16:D73))</f>
        <v>0</v>
      </c>
      <c r="G73" s="268">
        <f>IF(F73=0,0,SUM($E$16:E73))</f>
        <v>0</v>
      </c>
      <c r="H73" s="268">
        <f t="shared" si="2"/>
        <v>0</v>
      </c>
    </row>
    <row r="74" spans="1:8">
      <c r="A74" s="274">
        <v>44895</v>
      </c>
      <c r="B74" s="268">
        <f t="shared" si="3"/>
        <v>0</v>
      </c>
      <c r="C74" s="268">
        <f t="shared" si="0"/>
        <v>0</v>
      </c>
      <c r="D74" s="268">
        <f t="shared" si="4"/>
        <v>0</v>
      </c>
      <c r="E74" s="268">
        <f t="shared" si="1"/>
        <v>0</v>
      </c>
      <c r="F74" s="268">
        <f>IF(ROUND(B74,0)=0,0,SUM($D$16:D74))</f>
        <v>0</v>
      </c>
      <c r="G74" s="268">
        <f>IF(F74=0,0,SUM($E$16:E74))</f>
        <v>0</v>
      </c>
      <c r="H74" s="268">
        <f t="shared" si="2"/>
        <v>0</v>
      </c>
    </row>
    <row r="75" spans="1:8" ht="16" thickBot="1">
      <c r="A75" s="272">
        <v>44926</v>
      </c>
      <c r="B75" s="268">
        <f t="shared" si="3"/>
        <v>0</v>
      </c>
      <c r="C75" s="268">
        <f t="shared" si="0"/>
        <v>0</v>
      </c>
      <c r="D75" s="268">
        <f t="shared" si="4"/>
        <v>0</v>
      </c>
      <c r="E75" s="268">
        <f t="shared" si="1"/>
        <v>0</v>
      </c>
      <c r="F75" s="268">
        <f>IF(ROUND(B75,0)=0,0,SUM($D$16:D75))</f>
        <v>0</v>
      </c>
      <c r="G75" s="268">
        <f>IF(F75=0,0,SUM($E$16:E75))</f>
        <v>0</v>
      </c>
      <c r="H75" s="268">
        <f t="shared" si="2"/>
        <v>0</v>
      </c>
    </row>
    <row r="76" spans="1:8">
      <c r="A76" s="267">
        <v>44957</v>
      </c>
      <c r="B76" s="268">
        <f t="shared" si="3"/>
        <v>0</v>
      </c>
      <c r="C76" s="268">
        <f>IF(B76&gt;$B$4,$B$4,B76)</f>
        <v>0</v>
      </c>
      <c r="D76" s="268">
        <f t="shared" si="4"/>
        <v>0</v>
      </c>
      <c r="E76" s="268">
        <f t="shared" si="1"/>
        <v>0</v>
      </c>
      <c r="F76" s="268">
        <f>IF(ROUND(B76,0)=0,0,SUM($D$16:D76))</f>
        <v>0</v>
      </c>
      <c r="G76" s="268">
        <f>IF(F76=0,0,SUM($E$16:E76))</f>
        <v>0</v>
      </c>
      <c r="H76" s="268">
        <f t="shared" si="2"/>
        <v>0</v>
      </c>
    </row>
    <row r="77" spans="1:8">
      <c r="A77" s="267">
        <v>44985</v>
      </c>
      <c r="B77" s="268">
        <f>IF(H76&gt;0,H76,0)</f>
        <v>0</v>
      </c>
      <c r="C77" s="268">
        <f t="shared" ref="C77:C87" si="5">IF(B77&gt;$B$4,$B$4,B77)</f>
        <v>0</v>
      </c>
      <c r="D77" s="268">
        <f t="shared" si="4"/>
        <v>0</v>
      </c>
      <c r="E77" s="268">
        <f t="shared" si="1"/>
        <v>0</v>
      </c>
      <c r="F77" s="268">
        <f>IF(ROUND(B77,1)=0,0,SUM($D$16:D77))</f>
        <v>0</v>
      </c>
      <c r="G77" s="268">
        <f>IF(F77=0,0,SUM($E$16:E77))</f>
        <v>0</v>
      </c>
      <c r="H77" s="268">
        <f t="shared" si="2"/>
        <v>0</v>
      </c>
    </row>
    <row r="78" spans="1:8">
      <c r="A78" s="267">
        <v>45016</v>
      </c>
      <c r="B78" s="268">
        <f t="shared" ref="B78:B87" si="6">IF(H77&gt;0,H77,0)</f>
        <v>0</v>
      </c>
      <c r="C78" s="268">
        <f t="shared" si="5"/>
        <v>0</v>
      </c>
      <c r="D78" s="268">
        <f t="shared" si="4"/>
        <v>0</v>
      </c>
      <c r="E78" s="268">
        <f t="shared" si="1"/>
        <v>0</v>
      </c>
      <c r="F78" s="268">
        <f>IF(ROUND(B78,1)=0,0,SUM($D$16:D78))</f>
        <v>0</v>
      </c>
      <c r="G78" s="268">
        <f>IF(F78=0,0,SUM($E$16:E78))</f>
        <v>0</v>
      </c>
      <c r="H78" s="268">
        <f t="shared" si="2"/>
        <v>0</v>
      </c>
    </row>
    <row r="79" spans="1:8">
      <c r="A79" s="267">
        <v>45046</v>
      </c>
      <c r="B79" s="268">
        <f t="shared" si="6"/>
        <v>0</v>
      </c>
      <c r="C79" s="268">
        <f t="shared" si="5"/>
        <v>0</v>
      </c>
      <c r="D79" s="268">
        <f t="shared" si="4"/>
        <v>0</v>
      </c>
      <c r="E79" s="268">
        <f t="shared" si="1"/>
        <v>0</v>
      </c>
      <c r="F79" s="268">
        <f>IF(ROUND(B79,1)=0,0,SUM($D$16:D79))</f>
        <v>0</v>
      </c>
      <c r="G79" s="268">
        <f>IF(F79=0,0,SUM($E$16:E79))</f>
        <v>0</v>
      </c>
      <c r="H79" s="268">
        <f t="shared" si="2"/>
        <v>0</v>
      </c>
    </row>
    <row r="80" spans="1:8">
      <c r="A80" s="267">
        <v>45077</v>
      </c>
      <c r="B80" s="268">
        <f t="shared" si="6"/>
        <v>0</v>
      </c>
      <c r="C80" s="268">
        <f t="shared" si="5"/>
        <v>0</v>
      </c>
      <c r="D80" s="268">
        <f t="shared" si="4"/>
        <v>0</v>
      </c>
      <c r="E80" s="268">
        <f t="shared" si="1"/>
        <v>0</v>
      </c>
      <c r="F80" s="268">
        <f>IF(ROUND(B80,1)=0,0,SUM($D$16:D80))</f>
        <v>0</v>
      </c>
      <c r="G80" s="268">
        <f>IF(F80=0,0,SUM($E$16:E80))</f>
        <v>0</v>
      </c>
      <c r="H80" s="268">
        <f t="shared" si="2"/>
        <v>0</v>
      </c>
    </row>
    <row r="81" spans="1:8">
      <c r="A81" s="267">
        <v>45107</v>
      </c>
      <c r="B81" s="268">
        <f t="shared" si="6"/>
        <v>0</v>
      </c>
      <c r="C81" s="268">
        <f t="shared" si="5"/>
        <v>0</v>
      </c>
      <c r="D81" s="268">
        <f t="shared" si="4"/>
        <v>0</v>
      </c>
      <c r="E81" s="268">
        <f t="shared" ref="E81:E87" si="7">B81*$B$2/12</f>
        <v>0</v>
      </c>
      <c r="F81" s="268">
        <f>IF(ROUND(B81,1)=0,0,SUM($D$16:D81))</f>
        <v>0</v>
      </c>
      <c r="G81" s="268">
        <f>IF(F81=0,0,SUM($E$16:E81))</f>
        <v>0</v>
      </c>
      <c r="H81" s="268">
        <f t="shared" ref="H81:H87" si="8">B81-D81</f>
        <v>0</v>
      </c>
    </row>
    <row r="82" spans="1:8">
      <c r="A82" s="267">
        <v>45138</v>
      </c>
      <c r="B82" s="268">
        <f t="shared" si="6"/>
        <v>0</v>
      </c>
      <c r="C82" s="268">
        <f t="shared" si="5"/>
        <v>0</v>
      </c>
      <c r="D82" s="268">
        <f t="shared" ref="D82:D87" si="9">C82-E82</f>
        <v>0</v>
      </c>
      <c r="E82" s="268">
        <f t="shared" si="7"/>
        <v>0</v>
      </c>
      <c r="F82" s="268">
        <f>IF(ROUND(B82,1)=0,0,SUM($D$16:D82))</f>
        <v>0</v>
      </c>
      <c r="G82" s="268">
        <f>IF(F82=0,0,SUM($E$16:E82))</f>
        <v>0</v>
      </c>
      <c r="H82" s="268">
        <f t="shared" si="8"/>
        <v>0</v>
      </c>
    </row>
    <row r="83" spans="1:8">
      <c r="A83" s="267">
        <v>45169</v>
      </c>
      <c r="B83" s="268">
        <f t="shared" si="6"/>
        <v>0</v>
      </c>
      <c r="C83" s="268">
        <f t="shared" si="5"/>
        <v>0</v>
      </c>
      <c r="D83" s="268">
        <f t="shared" si="9"/>
        <v>0</v>
      </c>
      <c r="E83" s="268">
        <f t="shared" si="7"/>
        <v>0</v>
      </c>
      <c r="F83" s="268">
        <f>IF(ROUND(B83,1)=0,0,SUM($D$16:D83))</f>
        <v>0</v>
      </c>
      <c r="G83" s="268">
        <f>IF(F83=0,0,SUM($E$16:E83))</f>
        <v>0</v>
      </c>
      <c r="H83" s="268">
        <f t="shared" si="8"/>
        <v>0</v>
      </c>
    </row>
    <row r="84" spans="1:8">
      <c r="A84" s="267">
        <v>45199</v>
      </c>
      <c r="B84" s="268">
        <f t="shared" si="6"/>
        <v>0</v>
      </c>
      <c r="C84" s="268">
        <f t="shared" si="5"/>
        <v>0</v>
      </c>
      <c r="D84" s="268">
        <f t="shared" si="9"/>
        <v>0</v>
      </c>
      <c r="E84" s="268">
        <f t="shared" si="7"/>
        <v>0</v>
      </c>
      <c r="F84" s="268">
        <f>IF(ROUND(B84,1)=0,0,SUM($D$16:D84))</f>
        <v>0</v>
      </c>
      <c r="G84" s="268">
        <f>IF(F84=0,0,SUM($E$16:E84))</f>
        <v>0</v>
      </c>
      <c r="H84" s="268">
        <f t="shared" si="8"/>
        <v>0</v>
      </c>
    </row>
    <row r="85" spans="1:8">
      <c r="A85" s="267">
        <v>45230</v>
      </c>
      <c r="B85" s="268">
        <f t="shared" si="6"/>
        <v>0</v>
      </c>
      <c r="C85" s="268">
        <f t="shared" si="5"/>
        <v>0</v>
      </c>
      <c r="D85" s="268">
        <f t="shared" si="9"/>
        <v>0</v>
      </c>
      <c r="E85" s="268">
        <f t="shared" si="7"/>
        <v>0</v>
      </c>
      <c r="F85" s="268">
        <f>IF(ROUND(B85,1)=0,0,SUM($D$16:D85))</f>
        <v>0</v>
      </c>
      <c r="G85" s="268">
        <f>IF(F85=0,0,SUM($E$16:E85))</f>
        <v>0</v>
      </c>
      <c r="H85" s="268">
        <f t="shared" si="8"/>
        <v>0</v>
      </c>
    </row>
    <row r="86" spans="1:8">
      <c r="A86" s="267">
        <v>45260</v>
      </c>
      <c r="B86" s="268">
        <f t="shared" si="6"/>
        <v>0</v>
      </c>
      <c r="C86" s="268">
        <f t="shared" si="5"/>
        <v>0</v>
      </c>
      <c r="D86" s="268">
        <f t="shared" si="9"/>
        <v>0</v>
      </c>
      <c r="E86" s="268">
        <f t="shared" si="7"/>
        <v>0</v>
      </c>
      <c r="F86" s="268">
        <f>IF(ROUND(B86,1)=0,0,SUM($D$16:D86))</f>
        <v>0</v>
      </c>
      <c r="G86" s="268">
        <f>IF(F86=0,0,SUM($E$16:E86))</f>
        <v>0</v>
      </c>
      <c r="H86" s="268">
        <f t="shared" si="8"/>
        <v>0</v>
      </c>
    </row>
    <row r="87" spans="1:8">
      <c r="A87" s="267">
        <v>45291</v>
      </c>
      <c r="B87" s="268">
        <f t="shared" si="6"/>
        <v>0</v>
      </c>
      <c r="C87" s="268">
        <f t="shared" si="5"/>
        <v>0</v>
      </c>
      <c r="D87" s="268">
        <f t="shared" si="9"/>
        <v>0</v>
      </c>
      <c r="E87" s="268">
        <f t="shared" si="7"/>
        <v>0</v>
      </c>
      <c r="F87" s="268">
        <f>IF(ROUND(B87,1)=0,0,SUM($D$16:D87))</f>
        <v>0</v>
      </c>
      <c r="G87" s="268">
        <f>IF(F87=0,0,SUM($E$16:E87))</f>
        <v>0</v>
      </c>
      <c r="H87" s="268">
        <f t="shared" si="8"/>
        <v>0</v>
      </c>
    </row>
  </sheetData>
  <sheetProtection algorithmName="SHA-512" hashValue="KlK1XA8up6q4MNFYH2yQKgsJ+s2rRKLreeh/9i2lEpksANTj3Y6u5ITXO0OVsC1jRNtZ7PMNXM00/s9MCxoZyA==" saltValue="JC5lIcHdyzuBouRXyFLUBg==" spinCount="100000" sheet="1" objects="1" scenarios="1"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Cash Flow Statement Y1-5</vt:lpstr>
      <vt:lpstr>P&amp;L overview</vt:lpstr>
      <vt:lpstr>Capital Spend</vt:lpstr>
      <vt:lpstr>P&amp;L MASTER</vt:lpstr>
      <vt:lpstr>Duty Calcs </vt:lpstr>
      <vt:lpstr>Debt repayments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RCB Financials Investor Deck </dc:title>
  <dc:subject/>
  <dc:creator/>
  <cp:keywords/>
  <dc:description/>
  <cp:lastModifiedBy/>
  <dcterms:created xsi:type="dcterms:W3CDTF">2015-06-05T18:19:34Z</dcterms:created>
  <dcterms:modified xsi:type="dcterms:W3CDTF">2018-02-09T17:16:50Z</dcterms:modified>
  <cp:category/>
</cp:coreProperties>
</file>